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EB69" lockStructure="1"/>
  <bookViews>
    <workbookView xWindow="480" yWindow="30" windowWidth="10380" windowHeight="6600" tabRatio="496" firstSheet="15"/>
  </bookViews>
  <sheets>
    <sheet name="Portada" sheetId="14" r:id="rId1"/>
    <sheet name="Presupuestos de ventas" sheetId="26" r:id="rId2"/>
    <sheet name="Ingresos por ventas" sheetId="1" r:id="rId3"/>
    <sheet name="Costes" sheetId="2" r:id="rId4"/>
    <sheet name="Capex" sheetId="4" r:id="rId5"/>
    <sheet name="Masas de balance" sheetId="6" r:id="rId6"/>
    <sheet name="Subvenciones" sheetId="25" r:id="rId7"/>
    <sheet name="Cash Flow" sheetId="21" r:id="rId8"/>
    <sheet name="PyG" sheetId="3" r:id="rId9"/>
    <sheet name="Balance" sheetId="5" r:id="rId10"/>
    <sheet name="Impuestos" sheetId="8" r:id="rId11"/>
    <sheet name="Deuda" sheetId="7" r:id="rId12"/>
    <sheet name="Graficos" sheetId="23" r:id="rId13"/>
    <sheet name="Resumen proyecciones" sheetId="19" r:id="rId14"/>
    <sheet name="Valoración" sheetId="18" r:id="rId15"/>
    <sheet name="Balance mensual" sheetId="12" r:id="rId16"/>
    <sheet name="Balance histórico" sheetId="16" r:id="rId17"/>
    <sheet name="PyG histórico" sheetId="15" r:id="rId18"/>
  </sheets>
  <definedNames>
    <definedName name="_xlnm.Print_Area" localSheetId="9">Balance!$A$1:$H$40</definedName>
    <definedName name="_xlnm.Print_Area" localSheetId="15">'Balance mensual'!$A$1:$O$37</definedName>
    <definedName name="_xlnm.Print_Area" localSheetId="4">Capex!$A$1:$H$47</definedName>
    <definedName name="_xlnm.Print_Area" localSheetId="7">'Cash Flow'!$A$1:$H$61</definedName>
    <definedName name="_xlnm.Print_Area" localSheetId="3">Costes!$A$1:$Q$76</definedName>
    <definedName name="_xlnm.Print_Area" localSheetId="11">Deuda!$A$1:$H$18</definedName>
    <definedName name="_xlnm.Print_Area" localSheetId="10">Impuestos!$A$1:$H$27</definedName>
    <definedName name="_xlnm.Print_Area" localSheetId="2">'Ingresos por ventas'!$A$1:$G$15</definedName>
    <definedName name="_xlnm.Print_Area" localSheetId="5">'Masas de balance'!$A$1:$H$69</definedName>
    <definedName name="_xlnm.Print_Area" localSheetId="0">Portada!$A$1:$M$39</definedName>
    <definedName name="_xlnm.Print_Area" localSheetId="8">PyG!$A$1:$H$38</definedName>
    <definedName name="_xlnm.Print_Area" localSheetId="13">'Resumen proyecciones'!$A$1:$N$43</definedName>
    <definedName name="_xlnm.Print_Area" localSheetId="6">Subvenciones!$A$1:$G$21</definedName>
    <definedName name="_xlnm.Print_Area" localSheetId="14">Valoración!$A$1:$H$43</definedName>
  </definedNames>
  <calcPr calcId="145621" calcMode="manual"/>
</workbook>
</file>

<file path=xl/calcChain.xml><?xml version="1.0" encoding="utf-8"?>
<calcChain xmlns="http://schemas.openxmlformats.org/spreadsheetml/2006/main">
  <c r="E15" i="1" l="1"/>
  <c r="G15" i="1"/>
  <c r="G17" i="1" s="1"/>
  <c r="G11" i="6" s="1"/>
  <c r="H15" i="1"/>
  <c r="H17" i="1" s="1"/>
  <c r="H11" i="6" s="1"/>
  <c r="D15" i="1"/>
  <c r="D17" i="1" s="1"/>
  <c r="D11" i="6" s="1"/>
  <c r="N75" i="2"/>
  <c r="E58" i="2" s="1"/>
  <c r="O75" i="2"/>
  <c r="F58" i="2" s="1"/>
  <c r="P75" i="2"/>
  <c r="N65" i="2"/>
  <c r="E42" i="2" s="1"/>
  <c r="N66" i="2"/>
  <c r="E43" i="2"/>
  <c r="N67" i="2"/>
  <c r="E44" i="2"/>
  <c r="N68" i="2"/>
  <c r="N70" i="2"/>
  <c r="E46" i="2" s="1"/>
  <c r="N71" i="2"/>
  <c r="E47" i="2"/>
  <c r="N72" i="2"/>
  <c r="E48" i="2"/>
  <c r="N73" i="2"/>
  <c r="N74" i="2"/>
  <c r="E50" i="2" s="1"/>
  <c r="N76" i="2"/>
  <c r="E51" i="2"/>
  <c r="N77" i="2"/>
  <c r="N78" i="2"/>
  <c r="N79" i="2"/>
  <c r="E54" i="2" s="1"/>
  <c r="N80" i="2"/>
  <c r="E55" i="2"/>
  <c r="N81" i="2"/>
  <c r="O81" i="2" s="1"/>
  <c r="E56" i="2"/>
  <c r="N82" i="2"/>
  <c r="O65" i="2"/>
  <c r="F42" i="2"/>
  <c r="O66" i="2"/>
  <c r="F43" i="2"/>
  <c r="O67" i="2"/>
  <c r="O70" i="2"/>
  <c r="F46" i="2"/>
  <c r="O71" i="2"/>
  <c r="O72" i="2"/>
  <c r="O74" i="2"/>
  <c r="F50" i="2"/>
  <c r="O76" i="2"/>
  <c r="F51" i="2"/>
  <c r="O79" i="2"/>
  <c r="F54" i="2"/>
  <c r="O80" i="2"/>
  <c r="F55" i="2"/>
  <c r="P65" i="2"/>
  <c r="G42" i="2"/>
  <c r="P66" i="2"/>
  <c r="P70" i="2"/>
  <c r="P74" i="2"/>
  <c r="G50" i="2"/>
  <c r="P76" i="2"/>
  <c r="P79" i="2"/>
  <c r="P80" i="2"/>
  <c r="Q65" i="2"/>
  <c r="H42" i="2" s="1"/>
  <c r="Q74" i="2"/>
  <c r="H50" i="2" s="1"/>
  <c r="D42" i="2"/>
  <c r="D60" i="2" s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K51" i="2"/>
  <c r="D34" i="26"/>
  <c r="E34" i="26" s="1"/>
  <c r="F34" i="26" s="1"/>
  <c r="G34" i="26" s="1"/>
  <c r="K57" i="2"/>
  <c r="K58" i="2"/>
  <c r="C8" i="26"/>
  <c r="D8" i="26"/>
  <c r="E8" i="26"/>
  <c r="F8" i="26" s="1"/>
  <c r="G8" i="26" s="1"/>
  <c r="C23" i="26"/>
  <c r="C22" i="26"/>
  <c r="C21" i="26"/>
  <c r="C28" i="26" s="1"/>
  <c r="D7" i="1" s="1"/>
  <c r="D6" i="2" s="1"/>
  <c r="C31" i="26"/>
  <c r="C32" i="26"/>
  <c r="C35" i="26"/>
  <c r="D20" i="26"/>
  <c r="D21" i="26"/>
  <c r="E20" i="26"/>
  <c r="D13" i="26"/>
  <c r="D31" i="26"/>
  <c r="D32" i="26"/>
  <c r="D35" i="26" s="1"/>
  <c r="E8" i="1" s="1"/>
  <c r="E31" i="2"/>
  <c r="F31" i="2"/>
  <c r="G31" i="2"/>
  <c r="H31" i="2"/>
  <c r="D31" i="2"/>
  <c r="D37" i="2" s="1"/>
  <c r="D17" i="3" s="1"/>
  <c r="E13" i="19" s="1"/>
  <c r="M60" i="2"/>
  <c r="E25" i="2"/>
  <c r="F25" i="2"/>
  <c r="G25" i="2"/>
  <c r="H25" i="2" s="1"/>
  <c r="E22" i="2"/>
  <c r="F22" i="2"/>
  <c r="G22" i="2" s="1"/>
  <c r="H22" i="2" s="1"/>
  <c r="E23" i="2"/>
  <c r="F23" i="2"/>
  <c r="G23" i="2"/>
  <c r="H23" i="2" s="1"/>
  <c r="E24" i="2"/>
  <c r="F24" i="2" s="1"/>
  <c r="G24" i="2" s="1"/>
  <c r="H24" i="2" s="1"/>
  <c r="I27" i="2"/>
  <c r="E27" i="2"/>
  <c r="F27" i="2"/>
  <c r="G27" i="2"/>
  <c r="H27" i="2"/>
  <c r="I28" i="2"/>
  <c r="E28" i="2" s="1"/>
  <c r="F28" i="2" s="1"/>
  <c r="G28" i="2" s="1"/>
  <c r="H28" i="2" s="1"/>
  <c r="I29" i="2"/>
  <c r="E29" i="2" s="1"/>
  <c r="F29" i="2" s="1"/>
  <c r="G29" i="2" s="1"/>
  <c r="H29" i="2" s="1"/>
  <c r="I30" i="2"/>
  <c r="E30" i="2" s="1"/>
  <c r="F30" i="2" s="1"/>
  <c r="G30" i="2"/>
  <c r="H30" i="2"/>
  <c r="E21" i="2"/>
  <c r="E20" i="2"/>
  <c r="F20" i="2"/>
  <c r="G20" i="2" s="1"/>
  <c r="B8" i="1"/>
  <c r="B7" i="1"/>
  <c r="B6" i="1"/>
  <c r="D16" i="26"/>
  <c r="D27" i="26"/>
  <c r="E27" i="26"/>
  <c r="F27" i="26"/>
  <c r="G27" i="26"/>
  <c r="D26" i="26"/>
  <c r="E26" i="26"/>
  <c r="F26" i="26" s="1"/>
  <c r="G26" i="26" s="1"/>
  <c r="D25" i="26"/>
  <c r="E40" i="21"/>
  <c r="F40" i="21"/>
  <c r="G40" i="21" s="1"/>
  <c r="H40" i="21" s="1"/>
  <c r="F13" i="4"/>
  <c r="H43" i="4" s="1"/>
  <c r="G13" i="4"/>
  <c r="H13" i="4"/>
  <c r="E13" i="4"/>
  <c r="E12" i="4"/>
  <c r="F42" i="4" s="1"/>
  <c r="H12" i="4"/>
  <c r="G12" i="4"/>
  <c r="G15" i="4" s="1"/>
  <c r="G23" i="21" s="1"/>
  <c r="F12" i="4"/>
  <c r="C60" i="26"/>
  <c r="K42" i="2"/>
  <c r="K65" i="2" s="1"/>
  <c r="E17" i="1"/>
  <c r="E11" i="6" s="1"/>
  <c r="F17" i="1"/>
  <c r="F11" i="6" s="1"/>
  <c r="C25" i="4"/>
  <c r="C10" i="4"/>
  <c r="C7" i="8"/>
  <c r="C9" i="8"/>
  <c r="D21" i="8"/>
  <c r="D21" i="21"/>
  <c r="E21" i="21"/>
  <c r="F21" i="21"/>
  <c r="G21" i="21"/>
  <c r="H21" i="21"/>
  <c r="D25" i="5"/>
  <c r="E25" i="5" s="1"/>
  <c r="F25" i="5" s="1"/>
  <c r="G25" i="5" s="1"/>
  <c r="H25" i="5" s="1"/>
  <c r="D44" i="4"/>
  <c r="D45" i="4" s="1"/>
  <c r="D30" i="4" s="1"/>
  <c r="D43" i="4"/>
  <c r="D42" i="4"/>
  <c r="D41" i="4"/>
  <c r="E37" i="4"/>
  <c r="D37" i="4"/>
  <c r="F36" i="4"/>
  <c r="G36" i="4"/>
  <c r="H36" i="4"/>
  <c r="E36" i="4"/>
  <c r="D36" i="4"/>
  <c r="C21" i="4"/>
  <c r="C6" i="4" s="1"/>
  <c r="D55" i="6"/>
  <c r="G55" i="21"/>
  <c r="H55" i="21"/>
  <c r="K7" i="7"/>
  <c r="K8" i="7"/>
  <c r="K10" i="7"/>
  <c r="D32" i="3" s="1"/>
  <c r="L7" i="7"/>
  <c r="L8" i="7"/>
  <c r="M7" i="7"/>
  <c r="M8" i="7"/>
  <c r="M10" i="7"/>
  <c r="F32" i="3"/>
  <c r="F38" i="4"/>
  <c r="E38" i="4"/>
  <c r="D38" i="4"/>
  <c r="D15" i="4"/>
  <c r="D23" i="21" s="1"/>
  <c r="K55" i="2"/>
  <c r="K80" i="2"/>
  <c r="K54" i="2"/>
  <c r="K79" i="2"/>
  <c r="K53" i="2"/>
  <c r="K78" i="2" s="1"/>
  <c r="N69" i="2"/>
  <c r="O69" i="2"/>
  <c r="P69" i="2"/>
  <c r="Q69" i="2"/>
  <c r="H15" i="4"/>
  <c r="H23" i="21"/>
  <c r="E15" i="4"/>
  <c r="E23" i="21"/>
  <c r="E43" i="18"/>
  <c r="F43" i="18" s="1"/>
  <c r="G43" i="18" s="1"/>
  <c r="H43" i="18" s="1"/>
  <c r="Q60" i="2"/>
  <c r="P60" i="2"/>
  <c r="O60" i="2"/>
  <c r="N60" i="2"/>
  <c r="E42" i="4"/>
  <c r="E45" i="4" s="1"/>
  <c r="E43" i="4"/>
  <c r="N7" i="7"/>
  <c r="N10" i="7" s="1"/>
  <c r="G32" i="3" s="1"/>
  <c r="O7" i="7"/>
  <c r="N8" i="7"/>
  <c r="O8" i="7"/>
  <c r="O10" i="7"/>
  <c r="H32" i="3"/>
  <c r="L5" i="7"/>
  <c r="M5" i="7"/>
  <c r="N5" i="7"/>
  <c r="O5" i="7"/>
  <c r="K5" i="7"/>
  <c r="D10" i="7"/>
  <c r="I22" i="21"/>
  <c r="D16" i="5"/>
  <c r="E16" i="5" s="1"/>
  <c r="F16" i="5" s="1"/>
  <c r="G16" i="5" s="1"/>
  <c r="H16" i="5" s="1"/>
  <c r="H36" i="5"/>
  <c r="G36" i="5"/>
  <c r="F36" i="5"/>
  <c r="E36" i="5"/>
  <c r="D36" i="5"/>
  <c r="B24" i="4"/>
  <c r="B39" i="4"/>
  <c r="B53" i="4"/>
  <c r="B23" i="4"/>
  <c r="B38" i="4" s="1"/>
  <c r="B52" i="4" s="1"/>
  <c r="G37" i="4"/>
  <c r="H37" i="4"/>
  <c r="B22" i="4"/>
  <c r="B37" i="4"/>
  <c r="B51" i="4"/>
  <c r="C31" i="4"/>
  <c r="N85" i="2"/>
  <c r="O85" i="2" s="1"/>
  <c r="P85" i="2" s="1"/>
  <c r="Q85" i="2" s="1"/>
  <c r="N86" i="2"/>
  <c r="O86" i="2"/>
  <c r="P86" i="2"/>
  <c r="Q86" i="2"/>
  <c r="K86" i="2"/>
  <c r="K50" i="2"/>
  <c r="K74" i="2" s="1"/>
  <c r="K49" i="2"/>
  <c r="K73" i="2"/>
  <c r="K48" i="2"/>
  <c r="K72" i="2"/>
  <c r="K59" i="2"/>
  <c r="K85" i="2"/>
  <c r="K82" i="2"/>
  <c r="K56" i="2"/>
  <c r="K81" i="2"/>
  <c r="K52" i="2"/>
  <c r="K77" i="2"/>
  <c r="K76" i="2"/>
  <c r="B43" i="6"/>
  <c r="B54" i="6" s="1"/>
  <c r="B44" i="6"/>
  <c r="B55" i="6" s="1"/>
  <c r="B45" i="6"/>
  <c r="B46" i="6"/>
  <c r="B34" i="5"/>
  <c r="B35" i="5"/>
  <c r="B36" i="5"/>
  <c r="B37" i="5"/>
  <c r="B33" i="5"/>
  <c r="B42" i="6"/>
  <c r="D33" i="5"/>
  <c r="E33" i="5" s="1"/>
  <c r="F33" i="5" s="1"/>
  <c r="G33" i="5" s="1"/>
  <c r="H33" i="5" s="1"/>
  <c r="C6" i="8"/>
  <c r="D4" i="3"/>
  <c r="E4" i="3"/>
  <c r="E7" i="21" s="1"/>
  <c r="F4" i="3"/>
  <c r="G4" i="3"/>
  <c r="G4" i="5" s="1"/>
  <c r="E63" i="23" s="1"/>
  <c r="E66" i="23" s="1"/>
  <c r="E70" i="23" s="1"/>
  <c r="E75" i="23" s="1"/>
  <c r="H4" i="3"/>
  <c r="H4" i="5" s="1"/>
  <c r="D26" i="5"/>
  <c r="E26" i="5" s="1"/>
  <c r="F26" i="5" s="1"/>
  <c r="G26" i="5" s="1"/>
  <c r="H26" i="5" s="1"/>
  <c r="C35" i="18"/>
  <c r="C34" i="18"/>
  <c r="D15" i="18"/>
  <c r="G5" i="18"/>
  <c r="C5" i="18"/>
  <c r="D12" i="5"/>
  <c r="E12" i="5"/>
  <c r="F12" i="5" s="1"/>
  <c r="G12" i="5" s="1"/>
  <c r="H12" i="5" s="1"/>
  <c r="E55" i="6"/>
  <c r="F55" i="6"/>
  <c r="G55" i="6"/>
  <c r="H55" i="6"/>
  <c r="B5" i="5"/>
  <c r="B16" i="4"/>
  <c r="B21" i="4"/>
  <c r="B6" i="4" s="1"/>
  <c r="K43" i="2"/>
  <c r="K44" i="2"/>
  <c r="K45" i="2"/>
  <c r="K46" i="2"/>
  <c r="K47" i="2"/>
  <c r="E3" i="2"/>
  <c r="E4" i="4" s="1"/>
  <c r="N3" i="2"/>
  <c r="F3" i="2"/>
  <c r="F4" i="4" s="1"/>
  <c r="O3" i="2"/>
  <c r="G3" i="2"/>
  <c r="H3" i="2"/>
  <c r="Q3" i="2" s="1"/>
  <c r="D3" i="2"/>
  <c r="M3" i="2"/>
  <c r="A26" i="21"/>
  <c r="A17" i="21"/>
  <c r="M22" i="19"/>
  <c r="M35" i="19" s="1"/>
  <c r="K22" i="19"/>
  <c r="K35" i="19"/>
  <c r="I22" i="19"/>
  <c r="I35" i="19" s="1"/>
  <c r="G22" i="19"/>
  <c r="G35" i="19"/>
  <c r="E22" i="19"/>
  <c r="E35" i="19" s="1"/>
  <c r="N22" i="19"/>
  <c r="K12" i="18"/>
  <c r="L12" i="18"/>
  <c r="N15" i="18" s="1"/>
  <c r="M12" i="18"/>
  <c r="N12" i="18"/>
  <c r="C4" i="8"/>
  <c r="B16" i="5"/>
  <c r="B18" i="5"/>
  <c r="B14" i="12" s="1"/>
  <c r="B14" i="5"/>
  <c r="B12" i="12" s="1"/>
  <c r="B46" i="4"/>
  <c r="B12" i="5"/>
  <c r="B7" i="5"/>
  <c r="B8" i="5"/>
  <c r="B6" i="5"/>
  <c r="B26" i="5"/>
  <c r="B27" i="5"/>
  <c r="B28" i="5"/>
  <c r="B25" i="5"/>
  <c r="C32" i="12"/>
  <c r="C33" i="12"/>
  <c r="C27" i="12"/>
  <c r="C29" i="12"/>
  <c r="C30" i="12"/>
  <c r="C21" i="12"/>
  <c r="D21" i="12" s="1"/>
  <c r="C7" i="12"/>
  <c r="D7" i="12" s="1"/>
  <c r="E7" i="12" s="1"/>
  <c r="F7" i="12" s="1"/>
  <c r="G7" i="12" s="1"/>
  <c r="H7" i="12" s="1"/>
  <c r="I7" i="12" s="1"/>
  <c r="J7" i="12" s="1"/>
  <c r="K7" i="12" s="1"/>
  <c r="L7" i="12" s="1"/>
  <c r="M7" i="12" s="1"/>
  <c r="N7" i="12" s="1"/>
  <c r="O7" i="12" s="1"/>
  <c r="C10" i="12"/>
  <c r="D10" i="12" s="1"/>
  <c r="E10" i="12" s="1"/>
  <c r="F10" i="12" s="1"/>
  <c r="G10" i="12" s="1"/>
  <c r="H10" i="12" s="1"/>
  <c r="I10" i="12" s="1"/>
  <c r="J10" i="12" s="1"/>
  <c r="K10" i="12" s="1"/>
  <c r="L10" i="12" s="1"/>
  <c r="M10" i="12" s="1"/>
  <c r="N10" i="12" s="1"/>
  <c r="O10" i="12" s="1"/>
  <c r="C23" i="12"/>
  <c r="C31" i="12"/>
  <c r="C34" i="12"/>
  <c r="C12" i="12"/>
  <c r="C13" i="12"/>
  <c r="C14" i="12"/>
  <c r="C15" i="12" s="1"/>
  <c r="C5" i="12"/>
  <c r="C6" i="12"/>
  <c r="B34" i="12"/>
  <c r="B30" i="12"/>
  <c r="B31" i="12"/>
  <c r="B32" i="12"/>
  <c r="B33" i="12"/>
  <c r="B29" i="12"/>
  <c r="B13" i="12"/>
  <c r="B10" i="12"/>
  <c r="B6" i="12"/>
  <c r="B7" i="12"/>
  <c r="B5" i="12"/>
  <c r="C4" i="12"/>
  <c r="B27" i="4"/>
  <c r="B42" i="4"/>
  <c r="B55" i="4" s="1"/>
  <c r="B28" i="4"/>
  <c r="B43" i="4" s="1"/>
  <c r="B56" i="4" s="1"/>
  <c r="B29" i="4"/>
  <c r="B44" i="4"/>
  <c r="B57" i="4"/>
  <c r="B26" i="4"/>
  <c r="B41" i="4"/>
  <c r="B54" i="4"/>
  <c r="B25" i="4"/>
  <c r="B40" i="4" s="1"/>
  <c r="B30" i="4"/>
  <c r="B45" i="4"/>
  <c r="D4" i="4"/>
  <c r="H4" i="4"/>
  <c r="B14" i="2"/>
  <c r="K61" i="2"/>
  <c r="K87" i="2"/>
  <c r="K41" i="2"/>
  <c r="K64" i="2"/>
  <c r="G4" i="8"/>
  <c r="B56" i="6"/>
  <c r="B51" i="6"/>
  <c r="B52" i="6"/>
  <c r="B53" i="6"/>
  <c r="B50" i="6"/>
  <c r="B20" i="6"/>
  <c r="E1" i="6"/>
  <c r="G1" i="6"/>
  <c r="H1" i="6"/>
  <c r="B17" i="3"/>
  <c r="B16" i="3"/>
  <c r="B17" i="15"/>
  <c r="B16" i="15"/>
  <c r="C22" i="12"/>
  <c r="D22" i="12" s="1"/>
  <c r="E22" i="12" s="1"/>
  <c r="F22" i="12" s="1"/>
  <c r="G22" i="12" s="1"/>
  <c r="H22" i="12" s="1"/>
  <c r="I22" i="12" s="1"/>
  <c r="J22" i="12" s="1"/>
  <c r="K22" i="12" s="1"/>
  <c r="L22" i="12" s="1"/>
  <c r="M22" i="12" s="1"/>
  <c r="N22" i="12" s="1"/>
  <c r="O22" i="12" s="1"/>
  <c r="K71" i="2"/>
  <c r="K70" i="2"/>
  <c r="K68" i="2"/>
  <c r="K67" i="2"/>
  <c r="K66" i="2"/>
  <c r="D6" i="12"/>
  <c r="B16" i="6"/>
  <c r="D21" i="4"/>
  <c r="C24" i="12"/>
  <c r="I23" i="12" s="1"/>
  <c r="C11" i="8"/>
  <c r="E44" i="4"/>
  <c r="G44" i="4"/>
  <c r="F44" i="4"/>
  <c r="H44" i="4"/>
  <c r="E41" i="4"/>
  <c r="G41" i="4"/>
  <c r="F41" i="4"/>
  <c r="H41" i="4"/>
  <c r="H38" i="4"/>
  <c r="G38" i="4"/>
  <c r="F37" i="4"/>
  <c r="D23" i="12"/>
  <c r="E23" i="12"/>
  <c r="O23" i="12"/>
  <c r="D27" i="12"/>
  <c r="E27" i="12" s="1"/>
  <c r="F27" i="12" s="1"/>
  <c r="G27" i="12" s="1"/>
  <c r="H27" i="12" s="1"/>
  <c r="I27" i="12" s="1"/>
  <c r="J27" i="12" s="1"/>
  <c r="K27" i="12" s="1"/>
  <c r="L27" i="12" s="1"/>
  <c r="M27" i="12" s="1"/>
  <c r="N27" i="12" s="1"/>
  <c r="O27" i="12" s="1"/>
  <c r="D33" i="12"/>
  <c r="E33" i="12" s="1"/>
  <c r="F33" i="12" s="1"/>
  <c r="G33" i="12" s="1"/>
  <c r="H33" i="12" s="1"/>
  <c r="I33" i="12" s="1"/>
  <c r="J33" i="12" s="1"/>
  <c r="K33" i="12" s="1"/>
  <c r="L33" i="12" s="1"/>
  <c r="M33" i="12" s="1"/>
  <c r="N33" i="12" s="1"/>
  <c r="O33" i="12" s="1"/>
  <c r="D27" i="5"/>
  <c r="D12" i="12"/>
  <c r="E12" i="12"/>
  <c r="E15" i="12" s="1"/>
  <c r="D15" i="12"/>
  <c r="D73" i="21"/>
  <c r="E73" i="21" s="1"/>
  <c r="F73" i="21" s="1"/>
  <c r="G73" i="21" s="1"/>
  <c r="H73" i="21" s="1"/>
  <c r="E14" i="25"/>
  <c r="F7" i="3"/>
  <c r="I7" i="19" s="1"/>
  <c r="F14" i="25"/>
  <c r="G7" i="3" s="1"/>
  <c r="K7" i="19" s="1"/>
  <c r="G14" i="25"/>
  <c r="H7" i="3" s="1"/>
  <c r="M7" i="19" s="1"/>
  <c r="D14" i="25"/>
  <c r="E7" i="3" s="1"/>
  <c r="G7" i="19" s="1"/>
  <c r="C14" i="25"/>
  <c r="D7" i="3" s="1"/>
  <c r="E7" i="19" s="1"/>
  <c r="G60" i="26"/>
  <c r="F60" i="26"/>
  <c r="E60" i="26"/>
  <c r="D60" i="26"/>
  <c r="B77" i="23"/>
  <c r="E25" i="26"/>
  <c r="F25" i="26" s="1"/>
  <c r="G25" i="26" s="1"/>
  <c r="C14" i="26"/>
  <c r="C17" i="26" s="1"/>
  <c r="E16" i="26"/>
  <c r="F16" i="26" s="1"/>
  <c r="D6" i="1"/>
  <c r="G16" i="26"/>
  <c r="E46" i="6"/>
  <c r="F46" i="6"/>
  <c r="G46" i="6"/>
  <c r="H46" i="6"/>
  <c r="D8" i="1"/>
  <c r="D23" i="26"/>
  <c r="D28" i="26" s="1"/>
  <c r="E7" i="1" s="1"/>
  <c r="E6" i="2" s="1"/>
  <c r="D22" i="26"/>
  <c r="E67" i="2" l="1"/>
  <c r="G54" i="2"/>
  <c r="Q79" i="2"/>
  <c r="H54" i="2" s="1"/>
  <c r="P3" i="2"/>
  <c r="G4" i="4"/>
  <c r="F47" i="2"/>
  <c r="P71" i="2"/>
  <c r="G8" i="18"/>
  <c r="E8" i="18"/>
  <c r="C8" i="18"/>
  <c r="F8" i="18"/>
  <c r="H8" i="18"/>
  <c r="D8" i="18"/>
  <c r="E37" i="2"/>
  <c r="F21" i="2"/>
  <c r="C8" i="12"/>
  <c r="C17" i="12" s="1"/>
  <c r="N16" i="18"/>
  <c r="F56" i="2"/>
  <c r="P81" i="2"/>
  <c r="Q75" i="2"/>
  <c r="H58" i="2" s="1"/>
  <c r="G58" i="2"/>
  <c r="G46" i="2"/>
  <c r="Q70" i="2"/>
  <c r="H46" i="2" s="1"/>
  <c r="E52" i="2"/>
  <c r="O77" i="2"/>
  <c r="E57" i="2"/>
  <c r="O82" i="2"/>
  <c r="B5" i="2"/>
  <c r="B10" i="2"/>
  <c r="E8" i="6"/>
  <c r="E9" i="6" s="1"/>
  <c r="E7" i="2"/>
  <c r="D4" i="5"/>
  <c r="B63" i="23" s="1"/>
  <c r="B66" i="23" s="1"/>
  <c r="B70" i="23" s="1"/>
  <c r="B75" i="23" s="1"/>
  <c r="D3" i="12"/>
  <c r="D1" i="6"/>
  <c r="D31" i="4"/>
  <c r="C16" i="4"/>
  <c r="F45" i="4"/>
  <c r="C38" i="26"/>
  <c r="B64" i="23" s="1"/>
  <c r="G43" i="2"/>
  <c r="Q66" i="2"/>
  <c r="H43" i="2" s="1"/>
  <c r="B6" i="2"/>
  <c r="B11" i="2"/>
  <c r="E13" i="26"/>
  <c r="D14" i="26"/>
  <c r="D17" i="26" s="1"/>
  <c r="E45" i="2"/>
  <c r="O68" i="2"/>
  <c r="D7" i="5"/>
  <c r="E30" i="4"/>
  <c r="B7" i="2"/>
  <c r="B12" i="2"/>
  <c r="F44" i="2"/>
  <c r="P67" i="2"/>
  <c r="C19" i="8"/>
  <c r="D5" i="5"/>
  <c r="E21" i="4"/>
  <c r="D67" i="2"/>
  <c r="E21" i="26"/>
  <c r="E23" i="26"/>
  <c r="F20" i="26"/>
  <c r="E22" i="26"/>
  <c r="E49" i="2"/>
  <c r="O73" i="2"/>
  <c r="D5" i="2"/>
  <c r="D9" i="1"/>
  <c r="F4" i="5"/>
  <c r="F4" i="8" s="1"/>
  <c r="F1" i="6"/>
  <c r="F23" i="21"/>
  <c r="H20" i="2"/>
  <c r="C35" i="12"/>
  <c r="E5" i="18"/>
  <c r="E4" i="5"/>
  <c r="L10" i="7"/>
  <c r="E32" i="3" s="1"/>
  <c r="G55" i="2"/>
  <c r="Q80" i="2"/>
  <c r="H55" i="2" s="1"/>
  <c r="F48" i="2"/>
  <c r="P72" i="2"/>
  <c r="E53" i="2"/>
  <c r="O78" i="2"/>
  <c r="G51" i="2"/>
  <c r="Q76" i="2"/>
  <c r="H51" i="2" s="1"/>
  <c r="D8" i="6"/>
  <c r="D9" i="6" s="1"/>
  <c r="D7" i="2"/>
  <c r="G23" i="12"/>
  <c r="K23" i="12"/>
  <c r="N23" i="12"/>
  <c r="M23" i="12"/>
  <c r="J23" i="12"/>
  <c r="L23" i="12"/>
  <c r="H23" i="12"/>
  <c r="F23" i="12"/>
  <c r="D8" i="8"/>
  <c r="C14" i="8"/>
  <c r="C18" i="8" s="1"/>
  <c r="C20" i="8" s="1"/>
  <c r="F43" i="4"/>
  <c r="G43" i="4"/>
  <c r="D20" i="6"/>
  <c r="D21" i="6" s="1"/>
  <c r="D23" i="6" s="1"/>
  <c r="D35" i="5" s="1"/>
  <c r="C25" i="12"/>
  <c r="C37" i="12" s="1"/>
  <c r="B36" i="4"/>
  <c r="H42" i="4"/>
  <c r="H45" i="4" s="1"/>
  <c r="C32" i="4"/>
  <c r="G42" i="4"/>
  <c r="G45" i="4" s="1"/>
  <c r="G7" i="21"/>
  <c r="E13" i="6"/>
  <c r="E15" i="5" s="1"/>
  <c r="D13" i="6"/>
  <c r="D43" i="6"/>
  <c r="D54" i="6" s="1"/>
  <c r="E21" i="12"/>
  <c r="H4" i="8"/>
  <c r="F63" i="23"/>
  <c r="F66" i="23" s="1"/>
  <c r="F70" i="23" s="1"/>
  <c r="F75" i="23" s="1"/>
  <c r="D4" i="8"/>
  <c r="D5" i="3"/>
  <c r="F12" i="12"/>
  <c r="D30" i="12"/>
  <c r="E30" i="12" s="1"/>
  <c r="F30" i="12" s="1"/>
  <c r="G30" i="12" s="1"/>
  <c r="H30" i="12" s="1"/>
  <c r="I30" i="12" s="1"/>
  <c r="J30" i="12" s="1"/>
  <c r="K30" i="12" s="1"/>
  <c r="L30" i="12" s="1"/>
  <c r="M30" i="12" s="1"/>
  <c r="N30" i="12" s="1"/>
  <c r="O30" i="12" s="1"/>
  <c r="D63" i="23"/>
  <c r="D66" i="23" s="1"/>
  <c r="D70" i="23" s="1"/>
  <c r="D75" i="23" s="1"/>
  <c r="H7" i="21"/>
  <c r="F7" i="21"/>
  <c r="D7" i="21"/>
  <c r="H5" i="18"/>
  <c r="F5" i="18"/>
  <c r="D5" i="18"/>
  <c r="G21" i="2" l="1"/>
  <c r="F67" i="2"/>
  <c r="F37" i="2"/>
  <c r="F53" i="2"/>
  <c r="P78" i="2"/>
  <c r="D38" i="26"/>
  <c r="C64" i="23" s="1"/>
  <c r="E6" i="1"/>
  <c r="D14" i="2"/>
  <c r="E7" i="5"/>
  <c r="F30" i="4"/>
  <c r="D8" i="5"/>
  <c r="E31" i="4"/>
  <c r="F57" i="2"/>
  <c r="P82" i="2"/>
  <c r="D28" i="6"/>
  <c r="G48" i="2"/>
  <c r="Q72" i="2"/>
  <c r="H48" i="2" s="1"/>
  <c r="F49" i="2"/>
  <c r="P73" i="2"/>
  <c r="E5" i="5"/>
  <c r="F21" i="4"/>
  <c r="G56" i="2"/>
  <c r="Q81" i="2"/>
  <c r="H56" i="2" s="1"/>
  <c r="F22" i="26"/>
  <c r="G20" i="26"/>
  <c r="F21" i="26"/>
  <c r="F23" i="26"/>
  <c r="G47" i="2"/>
  <c r="Q71" i="2"/>
  <c r="H47" i="2" s="1"/>
  <c r="C63" i="23"/>
  <c r="C66" i="23" s="1"/>
  <c r="C70" i="23" s="1"/>
  <c r="C75" i="23" s="1"/>
  <c r="E4" i="8"/>
  <c r="E20" i="6"/>
  <c r="E17" i="3"/>
  <c r="E28" i="26"/>
  <c r="F7" i="1" s="1"/>
  <c r="F6" i="2" s="1"/>
  <c r="E31" i="26"/>
  <c r="E32" i="26" s="1"/>
  <c r="E35" i="26" s="1"/>
  <c r="F8" i="1" s="1"/>
  <c r="F13" i="26"/>
  <c r="E14" i="26"/>
  <c r="E17" i="26" s="1"/>
  <c r="G44" i="2"/>
  <c r="Q67" i="2"/>
  <c r="H44" i="2" s="1"/>
  <c r="E38" i="6"/>
  <c r="E51" i="6" s="1"/>
  <c r="E60" i="2"/>
  <c r="D6" i="6"/>
  <c r="D8" i="2"/>
  <c r="F45" i="2"/>
  <c r="P68" i="2"/>
  <c r="F52" i="2"/>
  <c r="P77" i="2"/>
  <c r="D38" i="6"/>
  <c r="D51" i="6" s="1"/>
  <c r="D15" i="5"/>
  <c r="D5" i="12"/>
  <c r="D8" i="12" s="1"/>
  <c r="D17" i="12" s="1"/>
  <c r="F15" i="12"/>
  <c r="D6" i="8"/>
  <c r="E15" i="18"/>
  <c r="E5" i="19"/>
  <c r="G12" i="12"/>
  <c r="E6" i="12"/>
  <c r="D13" i="12"/>
  <c r="E13" i="12" s="1"/>
  <c r="F13" i="12" s="1"/>
  <c r="G13" i="12" s="1"/>
  <c r="H13" i="12" s="1"/>
  <c r="I13" i="12" s="1"/>
  <c r="J13" i="12" s="1"/>
  <c r="K13" i="12" s="1"/>
  <c r="L13" i="12" s="1"/>
  <c r="M13" i="12" s="1"/>
  <c r="N13" i="12" s="1"/>
  <c r="O13" i="12" s="1"/>
  <c r="F21" i="12"/>
  <c r="F8" i="6" l="1"/>
  <c r="F9" i="6" s="1"/>
  <c r="F13" i="6" s="1"/>
  <c r="F7" i="2"/>
  <c r="G49" i="2"/>
  <c r="Q73" i="2"/>
  <c r="H49" i="2" s="1"/>
  <c r="H60" i="2" s="1"/>
  <c r="F60" i="2"/>
  <c r="D7" i="6"/>
  <c r="D26" i="6"/>
  <c r="F28" i="26"/>
  <c r="G7" i="1" s="1"/>
  <c r="G6" i="2" s="1"/>
  <c r="E8" i="5"/>
  <c r="F31" i="4"/>
  <c r="G53" i="2"/>
  <c r="Q78" i="2"/>
  <c r="H53" i="2" s="1"/>
  <c r="C77" i="23"/>
  <c r="G13" i="19"/>
  <c r="G23" i="26"/>
  <c r="G21" i="26"/>
  <c r="G22" i="26"/>
  <c r="D15" i="2"/>
  <c r="D17" i="2"/>
  <c r="D59" i="2"/>
  <c r="E28" i="6"/>
  <c r="E21" i="6"/>
  <c r="E23" i="6" s="1"/>
  <c r="E43" i="6" s="1"/>
  <c r="F7" i="5"/>
  <c r="G30" i="4"/>
  <c r="F17" i="3"/>
  <c r="F20" i="6"/>
  <c r="G52" i="2"/>
  <c r="Q77" i="2"/>
  <c r="H52" i="2" s="1"/>
  <c r="D9" i="3"/>
  <c r="D16" i="6"/>
  <c r="H21" i="2"/>
  <c r="G37" i="2"/>
  <c r="G67" i="2"/>
  <c r="G45" i="2"/>
  <c r="Q68" i="2"/>
  <c r="H45" i="2" s="1"/>
  <c r="F6" i="1"/>
  <c r="E38" i="26"/>
  <c r="D64" i="23" s="1"/>
  <c r="F5" i="5"/>
  <c r="G21" i="4"/>
  <c r="G13" i="26"/>
  <c r="F31" i="26"/>
  <c r="F32" i="26" s="1"/>
  <c r="F35" i="26" s="1"/>
  <c r="G8" i="1" s="1"/>
  <c r="F14" i="26"/>
  <c r="F17" i="26" s="1"/>
  <c r="G57" i="2"/>
  <c r="G60" i="2" s="1"/>
  <c r="Q82" i="2"/>
  <c r="H57" i="2" s="1"/>
  <c r="E9" i="1"/>
  <c r="E5" i="2"/>
  <c r="E14" i="2" s="1"/>
  <c r="H12" i="12"/>
  <c r="G15" i="12"/>
  <c r="G21" i="12"/>
  <c r="E5" i="12"/>
  <c r="E8" i="12" s="1"/>
  <c r="E17" i="12" s="1"/>
  <c r="F6" i="12"/>
  <c r="H21" i="4" l="1"/>
  <c r="H5" i="5" s="1"/>
  <c r="G5" i="5"/>
  <c r="F21" i="6"/>
  <c r="F23" i="6" s="1"/>
  <c r="F43" i="6" s="1"/>
  <c r="F28" i="6"/>
  <c r="I13" i="19"/>
  <c r="D77" i="23"/>
  <c r="F38" i="6"/>
  <c r="F51" i="6" s="1"/>
  <c r="D13" i="3"/>
  <c r="D12" i="3"/>
  <c r="G7" i="5"/>
  <c r="H30" i="4"/>
  <c r="H7" i="5" s="1"/>
  <c r="G28" i="26"/>
  <c r="H7" i="1" s="1"/>
  <c r="H6" i="2" s="1"/>
  <c r="G6" i="1"/>
  <c r="F38" i="26"/>
  <c r="E64" i="23" s="1"/>
  <c r="G7" i="2"/>
  <c r="G8" i="6"/>
  <c r="G9" i="6" s="1"/>
  <c r="G13" i="6" s="1"/>
  <c r="E35" i="5"/>
  <c r="E54" i="6"/>
  <c r="F5" i="2"/>
  <c r="F14" i="2" s="1"/>
  <c r="F9" i="1"/>
  <c r="G14" i="26"/>
  <c r="G17" i="26" s="1"/>
  <c r="G31" i="26"/>
  <c r="G32" i="26" s="1"/>
  <c r="G35" i="26" s="1"/>
  <c r="H8" i="1" s="1"/>
  <c r="E8" i="2"/>
  <c r="E5" i="3"/>
  <c r="E6" i="6"/>
  <c r="H37" i="2"/>
  <c r="H67" i="2"/>
  <c r="G31" i="4"/>
  <c r="F8" i="5"/>
  <c r="D12" i="6"/>
  <c r="D17" i="6"/>
  <c r="D19" i="6" s="1"/>
  <c r="D27" i="6"/>
  <c r="D68" i="2"/>
  <c r="D61" i="2"/>
  <c r="D16" i="3" s="1"/>
  <c r="E9" i="3"/>
  <c r="E16" i="6"/>
  <c r="G20" i="6"/>
  <c r="G17" i="3"/>
  <c r="D32" i="12"/>
  <c r="E32" i="12" s="1"/>
  <c r="F32" i="12" s="1"/>
  <c r="G32" i="12" s="1"/>
  <c r="H32" i="12" s="1"/>
  <c r="I32" i="12" s="1"/>
  <c r="J32" i="12" s="1"/>
  <c r="K32" i="12" s="1"/>
  <c r="L32" i="12" s="1"/>
  <c r="M32" i="12" s="1"/>
  <c r="G6" i="12"/>
  <c r="F5" i="12"/>
  <c r="F8" i="12" s="1"/>
  <c r="F17" i="12" s="1"/>
  <c r="I12" i="12"/>
  <c r="H15" i="12"/>
  <c r="H21" i="12"/>
  <c r="G5" i="19" l="1"/>
  <c r="E12" i="3"/>
  <c r="E6" i="8"/>
  <c r="E10" i="3"/>
  <c r="E77" i="23"/>
  <c r="K13" i="19"/>
  <c r="G38" i="6"/>
  <c r="G51" i="6" s="1"/>
  <c r="G15" i="5"/>
  <c r="H7" i="2"/>
  <c r="H8" i="6"/>
  <c r="H9" i="6" s="1"/>
  <c r="H13" i="6" s="1"/>
  <c r="G38" i="26"/>
  <c r="F64" i="23" s="1"/>
  <c r="H6" i="1"/>
  <c r="E27" i="6"/>
  <c r="E12" i="6"/>
  <c r="E17" i="6"/>
  <c r="E19" i="6" s="1"/>
  <c r="E42" i="6" s="1"/>
  <c r="G8" i="5"/>
  <c r="H31" i="4"/>
  <c r="H8" i="5" s="1"/>
  <c r="F8" i="2"/>
  <c r="F6" i="6"/>
  <c r="F5" i="3"/>
  <c r="G9" i="1"/>
  <c r="G5" i="2"/>
  <c r="G14" i="2" s="1"/>
  <c r="D42" i="6"/>
  <c r="D53" i="6" s="1"/>
  <c r="D34" i="5"/>
  <c r="E17" i="2"/>
  <c r="E59" i="2"/>
  <c r="E15" i="2"/>
  <c r="G21" i="6"/>
  <c r="G23" i="6" s="1"/>
  <c r="G43" i="6" s="1"/>
  <c r="G28" i="6"/>
  <c r="D37" i="6"/>
  <c r="D50" i="6" s="1"/>
  <c r="D14" i="5"/>
  <c r="E13" i="3"/>
  <c r="C72" i="23" s="1"/>
  <c r="F16" i="6"/>
  <c r="F9" i="3"/>
  <c r="B76" i="23"/>
  <c r="E12" i="19"/>
  <c r="H17" i="3"/>
  <c r="H20" i="6"/>
  <c r="D10" i="8"/>
  <c r="D69" i="2"/>
  <c r="D70" i="2" s="1"/>
  <c r="D73" i="2"/>
  <c r="E7" i="6"/>
  <c r="E26" i="6"/>
  <c r="B71" i="23"/>
  <c r="E10" i="19"/>
  <c r="F10" i="19" s="1"/>
  <c r="F35" i="5"/>
  <c r="F54" i="6"/>
  <c r="G5" i="12"/>
  <c r="G8" i="12" s="1"/>
  <c r="G17" i="12" s="1"/>
  <c r="I21" i="12"/>
  <c r="D24" i="12"/>
  <c r="J12" i="12"/>
  <c r="I15" i="12"/>
  <c r="D46" i="6"/>
  <c r="D31" i="12"/>
  <c r="E31" i="12" s="1"/>
  <c r="F31" i="12" s="1"/>
  <c r="G31" i="12" s="1"/>
  <c r="H31" i="12" s="1"/>
  <c r="I31" i="12" s="1"/>
  <c r="J31" i="12" s="1"/>
  <c r="K31" i="12" s="1"/>
  <c r="L31" i="12" s="1"/>
  <c r="M31" i="12" s="1"/>
  <c r="N31" i="12" s="1"/>
  <c r="O31" i="12" s="1"/>
  <c r="D29" i="12"/>
  <c r="H6" i="12"/>
  <c r="E14" i="19" l="1"/>
  <c r="E37" i="6"/>
  <c r="E50" i="6" s="1"/>
  <c r="E14" i="5"/>
  <c r="G6" i="6"/>
  <c r="G5" i="3"/>
  <c r="G8" i="2"/>
  <c r="F6" i="8"/>
  <c r="I5" i="19"/>
  <c r="G15" i="18"/>
  <c r="F10" i="3"/>
  <c r="F12" i="3"/>
  <c r="H5" i="2"/>
  <c r="H14" i="2" s="1"/>
  <c r="H9" i="1"/>
  <c r="D6" i="3"/>
  <c r="D9" i="4"/>
  <c r="F13" i="3"/>
  <c r="D72" i="23" s="1"/>
  <c r="F26" i="6"/>
  <c r="F7" i="6"/>
  <c r="F12" i="6"/>
  <c r="F17" i="6"/>
  <c r="F19" i="6" s="1"/>
  <c r="F42" i="6" s="1"/>
  <c r="F27" i="6"/>
  <c r="E61" i="2"/>
  <c r="E16" i="3" s="1"/>
  <c r="E68" i="2"/>
  <c r="F59" i="2"/>
  <c r="F17" i="2"/>
  <c r="H38" i="6"/>
  <c r="H51" i="6" s="1"/>
  <c r="H15" i="5"/>
  <c r="E34" i="5"/>
  <c r="E53" i="6"/>
  <c r="F77" i="23"/>
  <c r="M13" i="19"/>
  <c r="G9" i="3"/>
  <c r="G16" i="6"/>
  <c r="G54" i="6"/>
  <c r="G35" i="5"/>
  <c r="H21" i="6"/>
  <c r="H23" i="6" s="1"/>
  <c r="H43" i="6" s="1"/>
  <c r="H28" i="6"/>
  <c r="G10" i="19"/>
  <c r="H10" i="19" s="1"/>
  <c r="C71" i="23"/>
  <c r="H13" i="19"/>
  <c r="I6" i="12"/>
  <c r="J21" i="12"/>
  <c r="E29" i="12"/>
  <c r="D35" i="12"/>
  <c r="H5" i="12"/>
  <c r="H8" i="12" s="1"/>
  <c r="H17" i="12" s="1"/>
  <c r="J15" i="12"/>
  <c r="K12" i="12"/>
  <c r="E24" i="12"/>
  <c r="D25" i="12"/>
  <c r="D37" i="12" s="1"/>
  <c r="H8" i="2" l="1"/>
  <c r="H6" i="6"/>
  <c r="H5" i="3"/>
  <c r="F34" i="5"/>
  <c r="F53" i="6"/>
  <c r="G59" i="2"/>
  <c r="G15" i="2"/>
  <c r="G17" i="2"/>
  <c r="H16" i="6"/>
  <c r="H9" i="3"/>
  <c r="G6" i="8"/>
  <c r="G10" i="3"/>
  <c r="H15" i="18"/>
  <c r="K5" i="19"/>
  <c r="L13" i="19" s="1"/>
  <c r="G12" i="3"/>
  <c r="G27" i="6"/>
  <c r="G12" i="6"/>
  <c r="G17" i="6"/>
  <c r="G19" i="6" s="1"/>
  <c r="G42" i="6" s="1"/>
  <c r="H54" i="6"/>
  <c r="H35" i="5"/>
  <c r="E10" i="8"/>
  <c r="E73" i="2"/>
  <c r="E69" i="2"/>
  <c r="E70" i="2" s="1"/>
  <c r="F37" i="6"/>
  <c r="F50" i="6" s="1"/>
  <c r="F14" i="5"/>
  <c r="G26" i="6"/>
  <c r="G7" i="6"/>
  <c r="G13" i="3"/>
  <c r="E72" i="23" s="1"/>
  <c r="D71" i="23"/>
  <c r="I10" i="19"/>
  <c r="J10" i="19" s="1"/>
  <c r="F61" i="2"/>
  <c r="F16" i="3" s="1"/>
  <c r="F68" i="2"/>
  <c r="C76" i="23"/>
  <c r="G12" i="19"/>
  <c r="D10" i="4"/>
  <c r="D39" i="4"/>
  <c r="D40" i="4" s="1"/>
  <c r="D47" i="4" s="1"/>
  <c r="D24" i="3" s="1"/>
  <c r="J13" i="19"/>
  <c r="E6" i="19"/>
  <c r="D20" i="3"/>
  <c r="K15" i="12"/>
  <c r="L12" i="12"/>
  <c r="I5" i="12"/>
  <c r="I8" i="12" s="1"/>
  <c r="I17" i="12" s="1"/>
  <c r="J6" i="12"/>
  <c r="F24" i="12"/>
  <c r="E25" i="12"/>
  <c r="F29" i="12"/>
  <c r="E35" i="12"/>
  <c r="K21" i="12"/>
  <c r="N32" i="12"/>
  <c r="O32" i="12" s="1"/>
  <c r="D21" i="18" l="1"/>
  <c r="D12" i="21"/>
  <c r="E18" i="19"/>
  <c r="G37" i="6"/>
  <c r="G50" i="6" s="1"/>
  <c r="G14" i="5"/>
  <c r="D27" i="3"/>
  <c r="E16" i="19"/>
  <c r="D21" i="3"/>
  <c r="B67" i="23"/>
  <c r="E71" i="23"/>
  <c r="K10" i="19"/>
  <c r="L10" i="19" s="1"/>
  <c r="G68" i="2"/>
  <c r="G61" i="2"/>
  <c r="G16" i="3" s="1"/>
  <c r="G14" i="19"/>
  <c r="H14" i="19" s="1"/>
  <c r="H12" i="19"/>
  <c r="H27" i="6"/>
  <c r="H17" i="6"/>
  <c r="H19" i="6" s="1"/>
  <c r="H42" i="6" s="1"/>
  <c r="H34" i="5" s="1"/>
  <c r="H12" i="6"/>
  <c r="D22" i="21"/>
  <c r="D26" i="21" s="1"/>
  <c r="D17" i="4"/>
  <c r="D18" i="4" s="1"/>
  <c r="D25" i="4"/>
  <c r="E8" i="19"/>
  <c r="F6" i="19"/>
  <c r="F10" i="8"/>
  <c r="F69" i="2"/>
  <c r="F73" i="2"/>
  <c r="F70" i="2"/>
  <c r="M5" i="19"/>
  <c r="H6" i="8"/>
  <c r="H12" i="3"/>
  <c r="D76" i="23"/>
  <c r="I12" i="19"/>
  <c r="E6" i="3"/>
  <c r="E9" i="4"/>
  <c r="G53" i="6"/>
  <c r="G34" i="5"/>
  <c r="H10" i="3"/>
  <c r="H13" i="3"/>
  <c r="F72" i="23" s="1"/>
  <c r="H7" i="6"/>
  <c r="H26" i="6"/>
  <c r="H59" i="2"/>
  <c r="H15" i="2"/>
  <c r="H17" i="2"/>
  <c r="G29" i="12"/>
  <c r="F35" i="12"/>
  <c r="G24" i="12"/>
  <c r="F25" i="12"/>
  <c r="K6" i="12"/>
  <c r="L21" i="12"/>
  <c r="D14" i="12"/>
  <c r="J5" i="12"/>
  <c r="J8" i="12" s="1"/>
  <c r="J17" i="12" s="1"/>
  <c r="M12" i="12"/>
  <c r="L15" i="12"/>
  <c r="E37" i="12"/>
  <c r="H53" i="6" l="1"/>
  <c r="N13" i="19"/>
  <c r="E76" i="23"/>
  <c r="K12" i="19"/>
  <c r="E10" i="4"/>
  <c r="E39" i="4"/>
  <c r="E40" i="4" s="1"/>
  <c r="E47" i="4" s="1"/>
  <c r="E24" i="3" s="1"/>
  <c r="F9" i="4"/>
  <c r="F10" i="4" s="1"/>
  <c r="F6" i="3"/>
  <c r="G69" i="2"/>
  <c r="G70" i="2" s="1"/>
  <c r="G10" i="8"/>
  <c r="M10" i="19"/>
  <c r="N10" i="19" s="1"/>
  <c r="F71" i="23"/>
  <c r="E20" i="19"/>
  <c r="F20" i="19" s="1"/>
  <c r="F16" i="19"/>
  <c r="E37" i="19"/>
  <c r="D28" i="3"/>
  <c r="D17" i="18"/>
  <c r="D34" i="3"/>
  <c r="D7" i="8" s="1"/>
  <c r="D9" i="8" s="1"/>
  <c r="H68" i="2"/>
  <c r="H61" i="2"/>
  <c r="H16" i="3" s="1"/>
  <c r="D71" i="2"/>
  <c r="D72" i="2" s="1"/>
  <c r="D23" i="18"/>
  <c r="E40" i="19" s="1"/>
  <c r="D29" i="6"/>
  <c r="G6" i="19"/>
  <c r="E20" i="3"/>
  <c r="E39" i="19"/>
  <c r="F18" i="19"/>
  <c r="I14" i="19"/>
  <c r="J14" i="19" s="1"/>
  <c r="J12" i="19"/>
  <c r="F5" i="19"/>
  <c r="F8" i="19"/>
  <c r="F13" i="19"/>
  <c r="F7" i="19"/>
  <c r="F12" i="19"/>
  <c r="F14" i="19"/>
  <c r="D6" i="5"/>
  <c r="D10" i="5" s="1"/>
  <c r="E24" i="19" s="1"/>
  <c r="D32" i="4"/>
  <c r="F37" i="12"/>
  <c r="H37" i="6"/>
  <c r="H50" i="6" s="1"/>
  <c r="H14" i="5"/>
  <c r="E14" i="12"/>
  <c r="M21" i="12"/>
  <c r="H24" i="12"/>
  <c r="G25" i="12"/>
  <c r="H29" i="12"/>
  <c r="G35" i="12"/>
  <c r="M15" i="12"/>
  <c r="N12" i="12"/>
  <c r="L6" i="12"/>
  <c r="K5" i="12"/>
  <c r="K8" i="12" s="1"/>
  <c r="K17" i="12" s="1"/>
  <c r="G73" i="2" l="1"/>
  <c r="G9" i="4"/>
  <c r="G10" i="4" s="1"/>
  <c r="G6" i="3"/>
  <c r="H6" i="19"/>
  <c r="G8" i="19"/>
  <c r="H10" i="8"/>
  <c r="H69" i="2"/>
  <c r="H73" i="2"/>
  <c r="H70" i="2"/>
  <c r="E21" i="18"/>
  <c r="E12" i="21"/>
  <c r="G18" i="19"/>
  <c r="D31" i="6"/>
  <c r="D32" i="6" s="1"/>
  <c r="D45" i="6" s="1"/>
  <c r="D30" i="6"/>
  <c r="D39" i="6" s="1"/>
  <c r="L12" i="19"/>
  <c r="K14" i="19"/>
  <c r="L14" i="19" s="1"/>
  <c r="F22" i="21"/>
  <c r="F26" i="21" s="1"/>
  <c r="F17" i="4"/>
  <c r="F18" i="4" s="1"/>
  <c r="F76" i="23"/>
  <c r="M12" i="19"/>
  <c r="G39" i="4"/>
  <c r="G40" i="4" s="1"/>
  <c r="G47" i="4" s="1"/>
  <c r="G24" i="3" s="1"/>
  <c r="D14" i="8"/>
  <c r="D9" i="18" s="1"/>
  <c r="D18" i="18" s="1"/>
  <c r="E8" i="8"/>
  <c r="D11" i="8"/>
  <c r="E17" i="4"/>
  <c r="E22" i="21"/>
  <c r="E26" i="21" s="1"/>
  <c r="E18" i="4"/>
  <c r="I6" i="19"/>
  <c r="F20" i="3"/>
  <c r="E25" i="4"/>
  <c r="G16" i="19"/>
  <c r="E27" i="3"/>
  <c r="C67" i="23"/>
  <c r="E21" i="3"/>
  <c r="C68" i="23" s="1"/>
  <c r="F39" i="4"/>
  <c r="F40" i="4" s="1"/>
  <c r="F47" i="4" s="1"/>
  <c r="F24" i="3" s="1"/>
  <c r="N15" i="12"/>
  <c r="O12" i="12"/>
  <c r="O15" i="12" s="1"/>
  <c r="L5" i="12"/>
  <c r="L8" i="12" s="1"/>
  <c r="L17" i="12" s="1"/>
  <c r="I29" i="12"/>
  <c r="H35" i="12"/>
  <c r="I24" i="12"/>
  <c r="H25" i="12"/>
  <c r="H37" i="12" s="1"/>
  <c r="N21" i="12"/>
  <c r="F14" i="12"/>
  <c r="G37" i="12"/>
  <c r="M6" i="12"/>
  <c r="E38" i="19" l="1"/>
  <c r="D19" i="18"/>
  <c r="N12" i="19"/>
  <c r="M14" i="19"/>
  <c r="N14" i="19" s="1"/>
  <c r="D37" i="5"/>
  <c r="D38" i="5" s="1"/>
  <c r="E31" i="19" s="1"/>
  <c r="D56" i="6"/>
  <c r="H8" i="19"/>
  <c r="H7" i="19"/>
  <c r="H5" i="19"/>
  <c r="H9" i="4"/>
  <c r="H6" i="3"/>
  <c r="F12" i="21"/>
  <c r="I18" i="19"/>
  <c r="F21" i="18"/>
  <c r="K18" i="19"/>
  <c r="G12" i="21"/>
  <c r="G21" i="18"/>
  <c r="E71" i="2"/>
  <c r="E72" i="2" s="1"/>
  <c r="E29" i="6"/>
  <c r="E23" i="18"/>
  <c r="G40" i="19" s="1"/>
  <c r="H18" i="19"/>
  <c r="G39" i="19"/>
  <c r="E34" i="3"/>
  <c r="E7" i="8" s="1"/>
  <c r="E9" i="8" s="1"/>
  <c r="E17" i="18"/>
  <c r="E28" i="3"/>
  <c r="K6" i="19"/>
  <c r="G20" i="3"/>
  <c r="F25" i="4"/>
  <c r="E6" i="5"/>
  <c r="E10" i="5" s="1"/>
  <c r="G24" i="19" s="1"/>
  <c r="E32" i="4"/>
  <c r="D67" i="23"/>
  <c r="I16" i="19"/>
  <c r="F27" i="3"/>
  <c r="F21" i="3"/>
  <c r="D68" i="23" s="1"/>
  <c r="I8" i="19"/>
  <c r="D17" i="5"/>
  <c r="D52" i="6"/>
  <c r="G20" i="19"/>
  <c r="H16" i="19"/>
  <c r="D19" i="8"/>
  <c r="D18" i="8"/>
  <c r="D20" i="8" s="1"/>
  <c r="F23" i="18"/>
  <c r="I40" i="19" s="1"/>
  <c r="F29" i="6"/>
  <c r="F71" i="2"/>
  <c r="F72" i="2" s="1"/>
  <c r="G17" i="4"/>
  <c r="G22" i="21"/>
  <c r="G26" i="21" s="1"/>
  <c r="G14" i="12"/>
  <c r="O21" i="12"/>
  <c r="J24" i="12"/>
  <c r="I25" i="12"/>
  <c r="J29" i="12"/>
  <c r="I35" i="12"/>
  <c r="M5" i="12"/>
  <c r="M8" i="12" s="1"/>
  <c r="M17" i="12" s="1"/>
  <c r="N6" i="12"/>
  <c r="E11" i="8" l="1"/>
  <c r="E14" i="8"/>
  <c r="E9" i="18" s="1"/>
  <c r="E18" i="18" s="1"/>
  <c r="F8" i="8"/>
  <c r="G71" i="2"/>
  <c r="G72" i="2" s="1"/>
  <c r="G23" i="18"/>
  <c r="K40" i="19" s="1"/>
  <c r="G29" i="6"/>
  <c r="G37" i="19"/>
  <c r="H20" i="19"/>
  <c r="K39" i="19"/>
  <c r="L18" i="19"/>
  <c r="G18" i="4"/>
  <c r="J18" i="19"/>
  <c r="I39" i="19"/>
  <c r="F31" i="6"/>
  <c r="F32" i="6" s="1"/>
  <c r="F45" i="6" s="1"/>
  <c r="F30" i="6"/>
  <c r="F39" i="6" s="1"/>
  <c r="J7" i="19"/>
  <c r="J8" i="19"/>
  <c r="J5" i="19"/>
  <c r="F6" i="5"/>
  <c r="F10" i="5" s="1"/>
  <c r="I24" i="19" s="1"/>
  <c r="F32" i="4"/>
  <c r="G25" i="4"/>
  <c r="J6" i="19"/>
  <c r="G21" i="3"/>
  <c r="E68" i="23" s="1"/>
  <c r="E67" i="23"/>
  <c r="K16" i="19"/>
  <c r="G27" i="3"/>
  <c r="E30" i="6"/>
  <c r="E39" i="6" s="1"/>
  <c r="E31" i="6"/>
  <c r="E32" i="6" s="1"/>
  <c r="E45" i="6" s="1"/>
  <c r="M6" i="19"/>
  <c r="H20" i="3"/>
  <c r="D22" i="8"/>
  <c r="D36" i="3" s="1"/>
  <c r="D38" i="3" s="1"/>
  <c r="D23" i="8"/>
  <c r="K8" i="19"/>
  <c r="H10" i="4"/>
  <c r="H39" i="4"/>
  <c r="H40" i="4" s="1"/>
  <c r="H47" i="4" s="1"/>
  <c r="H24" i="3" s="1"/>
  <c r="F34" i="3"/>
  <c r="F7" i="8" s="1"/>
  <c r="F9" i="8" s="1"/>
  <c r="F17" i="18"/>
  <c r="F28" i="3"/>
  <c r="I20" i="19"/>
  <c r="J16" i="19"/>
  <c r="O6" i="12"/>
  <c r="N5" i="12"/>
  <c r="N8" i="12" s="1"/>
  <c r="N17" i="12" s="1"/>
  <c r="K29" i="12"/>
  <c r="J35" i="12"/>
  <c r="K24" i="12"/>
  <c r="J25" i="12"/>
  <c r="H14" i="12"/>
  <c r="I37" i="12"/>
  <c r="G38" i="19" l="1"/>
  <c r="E19" i="18"/>
  <c r="I37" i="19"/>
  <c r="J20" i="19"/>
  <c r="D28" i="5"/>
  <c r="D10" i="21"/>
  <c r="F17" i="5"/>
  <c r="F52" i="6"/>
  <c r="D36" i="6"/>
  <c r="D49" i="6" s="1"/>
  <c r="D57" i="6" s="1"/>
  <c r="E21" i="8"/>
  <c r="J37" i="12"/>
  <c r="M16" i="19"/>
  <c r="H21" i="3"/>
  <c r="F68" i="23" s="1"/>
  <c r="F67" i="23"/>
  <c r="H27" i="3"/>
  <c r="F37" i="5"/>
  <c r="F38" i="5" s="1"/>
  <c r="I31" i="19" s="1"/>
  <c r="F56" i="6"/>
  <c r="G30" i="6"/>
  <c r="G39" i="6" s="1"/>
  <c r="G31" i="6"/>
  <c r="G32" i="6" s="1"/>
  <c r="G45" i="6" s="1"/>
  <c r="F14" i="8"/>
  <c r="F9" i="18" s="1"/>
  <c r="F18" i="18" s="1"/>
  <c r="G8" i="8"/>
  <c r="F11" i="8"/>
  <c r="M8" i="19"/>
  <c r="H25" i="4"/>
  <c r="G6" i="5"/>
  <c r="G10" i="5" s="1"/>
  <c r="K24" i="19" s="1"/>
  <c r="G32" i="4"/>
  <c r="H21" i="18"/>
  <c r="M18" i="19"/>
  <c r="H12" i="21"/>
  <c r="E37" i="5"/>
  <c r="E38" i="5" s="1"/>
  <c r="G31" i="19" s="1"/>
  <c r="E56" i="6"/>
  <c r="H17" i="4"/>
  <c r="H22" i="21"/>
  <c r="H26" i="21" s="1"/>
  <c r="H18" i="4"/>
  <c r="E17" i="5"/>
  <c r="E52" i="6"/>
  <c r="L8" i="19"/>
  <c r="L7" i="19"/>
  <c r="L5" i="19"/>
  <c r="G34" i="3"/>
  <c r="G7" i="8" s="1"/>
  <c r="G17" i="18"/>
  <c r="G28" i="3"/>
  <c r="L6" i="19"/>
  <c r="K20" i="19"/>
  <c r="L16" i="19"/>
  <c r="E19" i="8"/>
  <c r="E18" i="8"/>
  <c r="E20" i="8" s="1"/>
  <c r="I14" i="12"/>
  <c r="L24" i="12"/>
  <c r="K25" i="12"/>
  <c r="L29" i="12"/>
  <c r="K35" i="12"/>
  <c r="O5" i="12"/>
  <c r="O8" i="12" s="1"/>
  <c r="O17" i="12" s="1"/>
  <c r="D69" i="21"/>
  <c r="D31" i="5"/>
  <c r="I38" i="19" l="1"/>
  <c r="F19" i="18"/>
  <c r="N16" i="19"/>
  <c r="M20" i="19"/>
  <c r="G17" i="5"/>
  <c r="G52" i="6"/>
  <c r="H29" i="6"/>
  <c r="H71" i="2"/>
  <c r="H72" i="2" s="1"/>
  <c r="H23" i="18"/>
  <c r="M40" i="19" s="1"/>
  <c r="E36" i="3"/>
  <c r="E38" i="3" s="1"/>
  <c r="E22" i="8"/>
  <c r="E23" i="8"/>
  <c r="E36" i="6" s="1"/>
  <c r="E49" i="6" s="1"/>
  <c r="E57" i="6" s="1"/>
  <c r="N7" i="19"/>
  <c r="N5" i="19"/>
  <c r="N8" i="19"/>
  <c r="F18" i="8"/>
  <c r="F19" i="8"/>
  <c r="L20" i="19"/>
  <c r="K37" i="19"/>
  <c r="M39" i="19"/>
  <c r="N18" i="19"/>
  <c r="D17" i="21"/>
  <c r="D29" i="21" s="1"/>
  <c r="G37" i="5"/>
  <c r="G38" i="5" s="1"/>
  <c r="K31" i="19" s="1"/>
  <c r="G56" i="6"/>
  <c r="E27" i="5"/>
  <c r="D29" i="5"/>
  <c r="E29" i="19" s="1"/>
  <c r="G9" i="8"/>
  <c r="H6" i="5"/>
  <c r="H10" i="5" s="1"/>
  <c r="M24" i="19" s="1"/>
  <c r="H32" i="4"/>
  <c r="N6" i="19"/>
  <c r="H34" i="3"/>
  <c r="H7" i="8" s="1"/>
  <c r="H28" i="3"/>
  <c r="H17" i="18"/>
  <c r="D22" i="18"/>
  <c r="D14" i="21"/>
  <c r="D35" i="18"/>
  <c r="E31" i="5"/>
  <c r="E30" i="19"/>
  <c r="D40" i="5"/>
  <c r="M29" i="12"/>
  <c r="L35" i="12"/>
  <c r="M24" i="12"/>
  <c r="L25" i="12"/>
  <c r="J14" i="12"/>
  <c r="K37" i="12"/>
  <c r="E69" i="21"/>
  <c r="D30" i="21" l="1"/>
  <c r="D61" i="21"/>
  <c r="E14" i="21"/>
  <c r="E22" i="18"/>
  <c r="E41" i="19"/>
  <c r="E43" i="19" s="1"/>
  <c r="D24" i="18"/>
  <c r="D29" i="18" s="1"/>
  <c r="M37" i="19"/>
  <c r="N20" i="19"/>
  <c r="H30" i="6"/>
  <c r="H39" i="6" s="1"/>
  <c r="H31" i="6"/>
  <c r="H32" i="6" s="1"/>
  <c r="H45" i="6" s="1"/>
  <c r="F20" i="8"/>
  <c r="G14" i="8"/>
  <c r="G9" i="18" s="1"/>
  <c r="G18" i="18" s="1"/>
  <c r="G19" i="18" s="1"/>
  <c r="H8" i="8"/>
  <c r="H9" i="8" s="1"/>
  <c r="G11" i="8"/>
  <c r="E29" i="5"/>
  <c r="G29" i="19" s="1"/>
  <c r="F27" i="5"/>
  <c r="E28" i="5"/>
  <c r="E10" i="21"/>
  <c r="L37" i="12"/>
  <c r="F21" i="8"/>
  <c r="K14" i="12"/>
  <c r="N24" i="12"/>
  <c r="M25" i="12"/>
  <c r="N29" i="12"/>
  <c r="M35" i="12"/>
  <c r="G30" i="19"/>
  <c r="F31" i="5"/>
  <c r="E35" i="18"/>
  <c r="F69" i="21"/>
  <c r="E40" i="5" l="1"/>
  <c r="G19" i="8"/>
  <c r="G18" i="8"/>
  <c r="G41" i="19"/>
  <c r="G43" i="19" s="1"/>
  <c r="E24" i="18"/>
  <c r="E29" i="18" s="1"/>
  <c r="H11" i="8"/>
  <c r="H14" i="8"/>
  <c r="H9" i="18" s="1"/>
  <c r="H18" i="18" s="1"/>
  <c r="F36" i="3"/>
  <c r="F38" i="3" s="1"/>
  <c r="F22" i="8"/>
  <c r="F23" i="8"/>
  <c r="F36" i="6" s="1"/>
  <c r="F49" i="6" s="1"/>
  <c r="F57" i="6" s="1"/>
  <c r="E17" i="21"/>
  <c r="E29" i="21" s="1"/>
  <c r="E30" i="21" s="1"/>
  <c r="H37" i="5"/>
  <c r="H38" i="5" s="1"/>
  <c r="M31" i="19" s="1"/>
  <c r="H56" i="6"/>
  <c r="D18" i="5"/>
  <c r="E32" i="21"/>
  <c r="E61" i="21" s="1"/>
  <c r="H17" i="5"/>
  <c r="H52" i="6"/>
  <c r="G31" i="5"/>
  <c r="N35" i="12"/>
  <c r="O29" i="12"/>
  <c r="O35" i="12" s="1"/>
  <c r="O24" i="12"/>
  <c r="O25" i="12" s="1"/>
  <c r="O37" i="12" s="1"/>
  <c r="N25" i="12"/>
  <c r="I30" i="19"/>
  <c r="F35" i="18"/>
  <c r="L14" i="12"/>
  <c r="M37" i="12"/>
  <c r="G20" i="8" l="1"/>
  <c r="G21" i="8"/>
  <c r="F14" i="21"/>
  <c r="F22" i="18"/>
  <c r="G23" i="8"/>
  <c r="H21" i="8" s="1"/>
  <c r="G22" i="8"/>
  <c r="G36" i="3"/>
  <c r="F10" i="21"/>
  <c r="F28" i="5"/>
  <c r="F32" i="21"/>
  <c r="E18" i="5"/>
  <c r="H19" i="18"/>
  <c r="M38" i="19"/>
  <c r="D34" i="18"/>
  <c r="D19" i="5"/>
  <c r="H19" i="8"/>
  <c r="H18" i="8"/>
  <c r="H20" i="8" s="1"/>
  <c r="G36" i="6"/>
  <c r="G49" i="6" s="1"/>
  <c r="G57" i="6" s="1"/>
  <c r="G69" i="21"/>
  <c r="G35" i="18"/>
  <c r="K30" i="19"/>
  <c r="H31" i="5"/>
  <c r="M14" i="12"/>
  <c r="N37" i="12"/>
  <c r="F17" i="21" l="1"/>
  <c r="F29" i="21" s="1"/>
  <c r="F30" i="21" s="1"/>
  <c r="H36" i="3"/>
  <c r="H38" i="3" s="1"/>
  <c r="H23" i="8"/>
  <c r="H36" i="6" s="1"/>
  <c r="H49" i="6" s="1"/>
  <c r="H57" i="6" s="1"/>
  <c r="H22" i="8"/>
  <c r="G27" i="5"/>
  <c r="F29" i="5"/>
  <c r="D21" i="5"/>
  <c r="D41" i="5" s="1"/>
  <c r="E25" i="19"/>
  <c r="E27" i="19" s="1"/>
  <c r="F25" i="19" s="1"/>
  <c r="K38" i="19"/>
  <c r="G38" i="3"/>
  <c r="F24" i="18"/>
  <c r="F29" i="18" s="1"/>
  <c r="I41" i="19"/>
  <c r="I43" i="19" s="1"/>
  <c r="G22" i="18"/>
  <c r="G14" i="21"/>
  <c r="E34" i="18"/>
  <c r="E19" i="5"/>
  <c r="F61" i="21"/>
  <c r="H69" i="21"/>
  <c r="O14" i="12"/>
  <c r="N14" i="12"/>
  <c r="F31" i="19"/>
  <c r="H35" i="18"/>
  <c r="M30" i="19"/>
  <c r="F30" i="19" l="1"/>
  <c r="G25" i="19"/>
  <c r="G27" i="19" s="1"/>
  <c r="E21" i="5"/>
  <c r="E41" i="5" s="1"/>
  <c r="F29" i="19"/>
  <c r="I29" i="19"/>
  <c r="F40" i="5"/>
  <c r="K41" i="19"/>
  <c r="K43" i="19" s="1"/>
  <c r="G24" i="18"/>
  <c r="G29" i="18" s="1"/>
  <c r="F24" i="19"/>
  <c r="H14" i="21"/>
  <c r="H22" i="18"/>
  <c r="E33" i="19"/>
  <c r="F33" i="19" s="1"/>
  <c r="F27" i="19"/>
  <c r="F18" i="5"/>
  <c r="G32" i="21"/>
  <c r="G10" i="21"/>
  <c r="G17" i="21" s="1"/>
  <c r="G29" i="21" s="1"/>
  <c r="G28" i="5"/>
  <c r="H27" i="5" s="1"/>
  <c r="H28" i="5"/>
  <c r="H10" i="21"/>
  <c r="H17" i="21" s="1"/>
  <c r="H29" i="21" s="1"/>
  <c r="H27" i="19"/>
  <c r="G33" i="19"/>
  <c r="H33" i="19" s="1"/>
  <c r="H31" i="19"/>
  <c r="H24" i="19"/>
  <c r="H29" i="19"/>
  <c r="H30" i="19"/>
  <c r="H25" i="19"/>
  <c r="H29" i="5" l="1"/>
  <c r="G29" i="5"/>
  <c r="M29" i="19"/>
  <c r="H40" i="5"/>
  <c r="G40" i="5"/>
  <c r="K29" i="19"/>
  <c r="M41" i="19"/>
  <c r="M43" i="19" s="1"/>
  <c r="H24" i="18"/>
  <c r="H27" i="18" s="1"/>
  <c r="H29" i="18" s="1"/>
  <c r="H33" i="18" s="1"/>
  <c r="F19" i="5"/>
  <c r="F34" i="18"/>
  <c r="G61" i="21"/>
  <c r="G30" i="21"/>
  <c r="H30" i="21" s="1"/>
  <c r="H40" i="18" l="1"/>
  <c r="H41" i="18" s="1"/>
  <c r="H42" i="18" s="1"/>
  <c r="G33" i="18"/>
  <c r="I25" i="19"/>
  <c r="I27" i="19" s="1"/>
  <c r="F21" i="5"/>
  <c r="F41" i="5" s="1"/>
  <c r="G18" i="5"/>
  <c r="H32" i="21"/>
  <c r="H61" i="21" s="1"/>
  <c r="H18" i="5" s="1"/>
  <c r="D65" i="21"/>
  <c r="H34" i="18" l="1"/>
  <c r="H36" i="18" s="1"/>
  <c r="H19" i="5"/>
  <c r="G19" i="5"/>
  <c r="G34" i="18"/>
  <c r="G36" i="18" s="1"/>
  <c r="J25" i="19"/>
  <c r="I33" i="19"/>
  <c r="J33" i="19" s="1"/>
  <c r="J31" i="19"/>
  <c r="J27" i="19"/>
  <c r="J24" i="19"/>
  <c r="J29" i="19"/>
  <c r="J30" i="19"/>
  <c r="F33" i="18"/>
  <c r="G40" i="18"/>
  <c r="G41" i="18" s="1"/>
  <c r="G42" i="18" s="1"/>
  <c r="G46" i="18" l="1"/>
  <c r="G37" i="18"/>
  <c r="F40" i="18"/>
  <c r="F41" i="18" s="1"/>
  <c r="F42" i="18" s="1"/>
  <c r="E33" i="18"/>
  <c r="F36" i="18"/>
  <c r="M25" i="19"/>
  <c r="M27" i="19" s="1"/>
  <c r="H21" i="5"/>
  <c r="H41" i="5" s="1"/>
  <c r="K25" i="19"/>
  <c r="G21" i="5"/>
  <c r="G41" i="5" s="1"/>
  <c r="H37" i="18"/>
  <c r="H46" i="18"/>
  <c r="N25" i="19" l="1"/>
  <c r="M33" i="19"/>
  <c r="N33" i="19" s="1"/>
  <c r="N27" i="19"/>
  <c r="N31" i="19"/>
  <c r="N24" i="19"/>
  <c r="N29" i="19"/>
  <c r="N30" i="19"/>
  <c r="K27" i="19"/>
  <c r="F37" i="18"/>
  <c r="F46" i="18"/>
  <c r="E40" i="18"/>
  <c r="E41" i="18" s="1"/>
  <c r="E42" i="18" s="1"/>
  <c r="E36" i="18"/>
  <c r="D33" i="18"/>
  <c r="C33" i="18" l="1"/>
  <c r="C36" i="18" s="1"/>
  <c r="C37" i="18" s="1"/>
  <c r="D36" i="18"/>
  <c r="D40" i="18"/>
  <c r="D41" i="18" s="1"/>
  <c r="D42" i="18" s="1"/>
  <c r="L27" i="19"/>
  <c r="K33" i="19"/>
  <c r="L33" i="19" s="1"/>
  <c r="L24" i="19"/>
  <c r="L29" i="19"/>
  <c r="L31" i="19"/>
  <c r="L30" i="19"/>
  <c r="E37" i="18"/>
  <c r="E46" i="18"/>
  <c r="L25" i="19"/>
  <c r="D46" i="18" l="1"/>
  <c r="D37" i="18"/>
</calcChain>
</file>

<file path=xl/comments1.xml><?xml version="1.0" encoding="utf-8"?>
<comments xmlns="http://schemas.openxmlformats.org/spreadsheetml/2006/main">
  <authors>
    <author>infesc</author>
    <author>Antonio</author>
  </authors>
  <commentList>
    <comment ref="B31" authorId="0">
      <text>
        <r>
          <rPr>
            <b/>
            <sz val="8"/>
            <color indexed="81"/>
            <rFont val="Tahoma"/>
          </rPr>
          <t>infesc:</t>
        </r>
        <r>
          <rPr>
            <sz val="8"/>
            <color indexed="81"/>
            <rFont val="Tahoma"/>
          </rPr>
          <t xml:space="preserve">
Incluye ferias. Alimentaria, Paris, Frankfort
</t>
        </r>
      </text>
    </comment>
    <comment ref="B32" authorId="0">
      <text>
        <r>
          <rPr>
            <b/>
            <sz val="8"/>
            <color indexed="81"/>
            <rFont val="Tahoma"/>
          </rPr>
          <t>infesc:</t>
        </r>
        <r>
          <rPr>
            <sz val="8"/>
            <color indexed="81"/>
            <rFont val="Tahoma"/>
          </rPr>
          <t xml:space="preserve">
Incluye subvenciones</t>
        </r>
      </text>
    </comment>
    <comment ref="B35" authorId="1">
      <text>
        <r>
          <rPr>
            <b/>
            <sz val="8"/>
            <color indexed="81"/>
            <rFont val="Tahoma"/>
          </rPr>
          <t>Antonio:</t>
        </r>
        <r>
          <rPr>
            <sz val="8"/>
            <color indexed="81"/>
            <rFont val="Tahoma"/>
          </rPr>
          <t xml:space="preserve">
Incluye registro sanitario</t>
        </r>
      </text>
    </comment>
    <comment ref="K59" authorId="1">
      <text>
        <r>
          <rPr>
            <b/>
            <sz val="8"/>
            <color indexed="81"/>
            <rFont val="Tahoma"/>
          </rPr>
          <t>Antonio:</t>
        </r>
        <r>
          <rPr>
            <sz val="8"/>
            <color indexed="81"/>
            <rFont val="Tahoma"/>
          </rPr>
          <t xml:space="preserve">
Cantidad alzada basada en estimaciones
</t>
        </r>
      </text>
    </comment>
  </commentList>
</comments>
</file>

<file path=xl/comments2.xml><?xml version="1.0" encoding="utf-8"?>
<comments xmlns="http://schemas.openxmlformats.org/spreadsheetml/2006/main">
  <authors>
    <author>Antonio</author>
  </authors>
  <commentList>
    <comment ref="B5" authorId="0">
      <text>
        <r>
          <rPr>
            <b/>
            <sz val="8"/>
            <color indexed="81"/>
            <rFont val="Tahoma"/>
          </rPr>
          <t>Antonio:</t>
        </r>
        <r>
          <rPr>
            <sz val="8"/>
            <color indexed="81"/>
            <rFont val="Tahoma"/>
          </rPr>
          <t xml:space="preserve">
Restar la amortización acumulada</t>
        </r>
      </text>
    </comment>
  </commentList>
</comments>
</file>

<file path=xl/sharedStrings.xml><?xml version="1.0" encoding="utf-8"?>
<sst xmlns="http://schemas.openxmlformats.org/spreadsheetml/2006/main" count="479" uniqueCount="318">
  <si>
    <t>TOTAL</t>
  </si>
  <si>
    <t>Ingresos de ventas</t>
  </si>
  <si>
    <t>Miles de euros</t>
  </si>
  <si>
    <t>Ingresos ventas</t>
  </si>
  <si>
    <t>Gastos generales</t>
  </si>
  <si>
    <t>Gastos de personal</t>
  </si>
  <si>
    <t>Salario</t>
  </si>
  <si>
    <t>Seguridad social</t>
  </si>
  <si>
    <t>Costes</t>
  </si>
  <si>
    <t>Pérdidas y ganancias</t>
  </si>
  <si>
    <t>Total ingresos</t>
  </si>
  <si>
    <t>MARGEN BRUTO</t>
  </si>
  <si>
    <t xml:space="preserve">Margen  </t>
  </si>
  <si>
    <t>Coste de ventas</t>
  </si>
  <si>
    <t>EBITDA</t>
  </si>
  <si>
    <t>Margen EBITDA</t>
  </si>
  <si>
    <t>Amortizaciones</t>
  </si>
  <si>
    <t>Inversiones y amortizaciones</t>
  </si>
  <si>
    <t>Mobiliario</t>
  </si>
  <si>
    <t>Inmovilizado fin año</t>
  </si>
  <si>
    <t>Inversiones</t>
  </si>
  <si>
    <t>EBIT</t>
  </si>
  <si>
    <t>Margen EBIT</t>
  </si>
  <si>
    <t>Balance de situación</t>
  </si>
  <si>
    <t>Impuestos</t>
  </si>
  <si>
    <t>CAPEX</t>
  </si>
  <si>
    <t>Días inventario</t>
  </si>
  <si>
    <t>Existencias</t>
  </si>
  <si>
    <t>Total existencias</t>
  </si>
  <si>
    <t>Total clientes</t>
  </si>
  <si>
    <t>Días acreedores</t>
  </si>
  <si>
    <t>Total proveedores</t>
  </si>
  <si>
    <t>Con IVA</t>
  </si>
  <si>
    <t>Total generales</t>
  </si>
  <si>
    <t xml:space="preserve">IVA </t>
  </si>
  <si>
    <t>IVA en ingresos</t>
  </si>
  <si>
    <t>IVA en gastos ventas</t>
  </si>
  <si>
    <t>IVA en generales</t>
  </si>
  <si>
    <t>IVA en Capex</t>
  </si>
  <si>
    <t>IVA crédito (activo)</t>
  </si>
  <si>
    <t>IVA débito (pasivo)</t>
  </si>
  <si>
    <t>IVA débito en balance</t>
  </si>
  <si>
    <t>Activo a corto</t>
  </si>
  <si>
    <t>HP deudora</t>
  </si>
  <si>
    <t>Pasivo a corto</t>
  </si>
  <si>
    <t>HP acreedora</t>
  </si>
  <si>
    <t>Variaciones fondo maniobra</t>
  </si>
  <si>
    <t>Fondo de maniobra</t>
  </si>
  <si>
    <t>Gastos financieros</t>
  </si>
  <si>
    <t>Inmovilizaciones materiales</t>
  </si>
  <si>
    <t>Inmovilizaciones financieras</t>
  </si>
  <si>
    <t>Total activo fijo</t>
  </si>
  <si>
    <t>Deudores</t>
  </si>
  <si>
    <t>Tesorería</t>
  </si>
  <si>
    <t>Total circulante</t>
  </si>
  <si>
    <t>Total activo</t>
  </si>
  <si>
    <t>Capital</t>
  </si>
  <si>
    <t>Reservas</t>
  </si>
  <si>
    <t>Resultados ejercicios anteriores</t>
  </si>
  <si>
    <t>Total fondos propios</t>
  </si>
  <si>
    <t>Deuda a largo</t>
  </si>
  <si>
    <t>Total pasivo</t>
  </si>
  <si>
    <t>Acreedores a corto</t>
  </si>
  <si>
    <t>EBT</t>
  </si>
  <si>
    <t>Deuda</t>
  </si>
  <si>
    <t>Amortización</t>
  </si>
  <si>
    <t>Años amortización</t>
  </si>
  <si>
    <t>Intereses</t>
  </si>
  <si>
    <t>Base negativa ejercicios anteriores</t>
  </si>
  <si>
    <t>Base imponible</t>
  </si>
  <si>
    <t>Tipo general</t>
  </si>
  <si>
    <t>Tipo reducido</t>
  </si>
  <si>
    <t>Tipo aplicable</t>
  </si>
  <si>
    <t>Límite Base Imponible Reducido</t>
  </si>
  <si>
    <t>Hasta límite EUR 90.152</t>
  </si>
  <si>
    <t>Resto</t>
  </si>
  <si>
    <t>Cuota impositiva</t>
  </si>
  <si>
    <t>RESULTADO</t>
  </si>
  <si>
    <t>Masas de activo</t>
  </si>
  <si>
    <t>Masas de pasivo</t>
  </si>
  <si>
    <t>Hacienda pública</t>
  </si>
  <si>
    <t>Incremento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</si>
  <si>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</si>
  <si>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</si>
  <si>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</si>
  <si>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</si>
  <si>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</si>
  <si>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</si>
  <si>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</si>
  <si>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</si>
  <si>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</si>
  <si>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</si>
  <si>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</si>
  <si>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</si>
  <si>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Cambios en el Fondo de Maniobra</t>
  </si>
  <si>
    <t>de</t>
  </si>
  <si>
    <t>Management Case</t>
  </si>
  <si>
    <t>Economic model</t>
  </si>
  <si>
    <t>Ingresos financieros</t>
  </si>
  <si>
    <t>RESULTADOS ORDINARIOS</t>
  </si>
  <si>
    <t>Resultados extraordinarios negativos</t>
  </si>
  <si>
    <t>Inmovilizaciones inmateriales</t>
  </si>
  <si>
    <t>Gastos a distribuir en varios ejercicios</t>
  </si>
  <si>
    <t>Remuneraciones pendientes</t>
  </si>
  <si>
    <t>Euros</t>
  </si>
  <si>
    <t>Total inversiones inmateriales</t>
  </si>
  <si>
    <t>Equipos para procesos de información</t>
  </si>
  <si>
    <t>Total inversiones materiales</t>
  </si>
  <si>
    <t>Nuevo</t>
  </si>
  <si>
    <t>Valoración</t>
  </si>
  <si>
    <t>Valuation model</t>
  </si>
  <si>
    <t>Euro thousands</t>
  </si>
  <si>
    <t>Bu=Bd/(1+(1-T)*(D/E))</t>
  </si>
  <si>
    <t>Unlevered Beta</t>
  </si>
  <si>
    <t>Tipo de interés sin riesgo</t>
  </si>
  <si>
    <t>Stock price</t>
  </si>
  <si>
    <t>Prima de riesgo del mercado</t>
  </si>
  <si>
    <t>Shares outstanding (million)</t>
  </si>
  <si>
    <t>Beta sin apalancar</t>
  </si>
  <si>
    <t>Deuda*</t>
  </si>
  <si>
    <t>Tipo Impuesto de Sociedades</t>
  </si>
  <si>
    <t>Market Cap.</t>
  </si>
  <si>
    <t>Kd (coste de la deuda)</t>
  </si>
  <si>
    <t>Tax Rate</t>
  </si>
  <si>
    <t>Premium por tamaño</t>
  </si>
  <si>
    <t>Beta leveraged (Bd)</t>
  </si>
  <si>
    <t>Descuento por iliquidez</t>
  </si>
  <si>
    <t>Unlevered Beta (Bu)</t>
  </si>
  <si>
    <t>Source: Google Finance</t>
  </si>
  <si>
    <t>Total Ingresos por ventas</t>
  </si>
  <si>
    <t>* Debt as of September 30 2007</t>
  </si>
  <si>
    <t>Median</t>
  </si>
  <si>
    <t>Media</t>
  </si>
  <si>
    <t xml:space="preserve">EBIT </t>
  </si>
  <si>
    <t>Impuestos sobre EBIT</t>
  </si>
  <si>
    <t>EBIT después de impuestos</t>
  </si>
  <si>
    <t>Free Cash Flow (FCF)</t>
  </si>
  <si>
    <t>Crecimiento valor terminal</t>
  </si>
  <si>
    <t>Valor Terminal</t>
  </si>
  <si>
    <t>Cash Flow para aportantes de capital</t>
  </si>
  <si>
    <t>Valor de la compañía (final de año)</t>
  </si>
  <si>
    <t>Plus: exceso de caja</t>
  </si>
  <si>
    <t>Menos: deuda viva</t>
  </si>
  <si>
    <t>Valor de los Fondos Propios</t>
  </si>
  <si>
    <t>Valor fondos descontados por iliquidez</t>
  </si>
  <si>
    <t>Cálculo WACC</t>
  </si>
  <si>
    <t>Ratio Deuda/Valor de los FFPP</t>
  </si>
  <si>
    <t>Beta Apalancada</t>
  </si>
  <si>
    <t>Ke (coste de los fondos propios)</t>
  </si>
  <si>
    <t>WACC</t>
  </si>
  <si>
    <t>Resultados extraordinarios positivos</t>
  </si>
  <si>
    <t>Inversiones financieras temporales</t>
  </si>
  <si>
    <t>Total inversiones financieras</t>
  </si>
  <si>
    <t>The Genlyte Group Incorporated</t>
  </si>
  <si>
    <t>Cree, Inc</t>
  </si>
  <si>
    <t>Supertex, Inc</t>
  </si>
  <si>
    <t>StockerYale, Inc</t>
  </si>
  <si>
    <t>%</t>
  </si>
  <si>
    <t>Ventas</t>
  </si>
  <si>
    <t>Margen bruto</t>
  </si>
  <si>
    <t>Personal</t>
  </si>
  <si>
    <t>Otros gastos operativos</t>
  </si>
  <si>
    <t>Total costes operativos</t>
  </si>
  <si>
    <t>Balance</t>
  </si>
  <si>
    <t>Activo fijo</t>
  </si>
  <si>
    <t>Circulante</t>
  </si>
  <si>
    <t>Deuda a largo plazo</t>
  </si>
  <si>
    <t>Acreedores a corto plazo</t>
  </si>
  <si>
    <t>Flujos de caja</t>
  </si>
  <si>
    <t>Cambios en circulante</t>
  </si>
  <si>
    <t>Flujos libres de caja</t>
  </si>
  <si>
    <t>Fondos propios</t>
  </si>
  <si>
    <t>Estado de Cash Flow</t>
  </si>
  <si>
    <t>Cantidades expresadas en Euros</t>
  </si>
  <si>
    <t>Cash Flow de la Operaciones</t>
  </si>
  <si>
    <t>Beneficio Neto</t>
  </si>
  <si>
    <t>EUR</t>
  </si>
  <si>
    <t>Provisiones</t>
  </si>
  <si>
    <t>Other non-cash items</t>
  </si>
  <si>
    <t>Efectos comerciales descontados</t>
  </si>
  <si>
    <t>Cash Flow de las Inversiones</t>
  </si>
  <si>
    <t>Gastos de Constitución</t>
  </si>
  <si>
    <t>Inmovilizado Inmaterial</t>
  </si>
  <si>
    <t>Inmovilizado Material</t>
  </si>
  <si>
    <t>Otras partidas (Capitalizables)</t>
  </si>
  <si>
    <t>Necesidades de Financiación</t>
  </si>
  <si>
    <t>Acumulado Necesidades de Financiación</t>
  </si>
  <si>
    <t>Caja al inicio del ejercicio</t>
  </si>
  <si>
    <t>Disposición de fondos</t>
  </si>
  <si>
    <t>Pago</t>
  </si>
  <si>
    <t>Firma Capital - Riesgo</t>
  </si>
  <si>
    <t>Aportaciones al Capital</t>
  </si>
  <si>
    <t>Recompra</t>
  </si>
  <si>
    <t>Pago de Dividendos</t>
  </si>
  <si>
    <t>Caja al final del ejercicio</t>
  </si>
  <si>
    <t>Headcount medio</t>
  </si>
  <si>
    <t>Sales</t>
  </si>
  <si>
    <t>Gross margin</t>
  </si>
  <si>
    <t>Personnel</t>
  </si>
  <si>
    <t>% of total sales</t>
  </si>
  <si>
    <t>Operating</t>
  </si>
  <si>
    <t>Total</t>
  </si>
  <si>
    <t>Gastos de establecimiento</t>
  </si>
  <si>
    <t>Trabajos realizados para el inmovilizado inmaterial</t>
  </si>
  <si>
    <t>Activación costes</t>
  </si>
  <si>
    <t>- Coste ventas</t>
  </si>
  <si>
    <t>- Gastos generales</t>
  </si>
  <si>
    <t>- Gastos de personal</t>
  </si>
  <si>
    <t>Gastos I+D</t>
  </si>
  <si>
    <t>Subvenciones en capital</t>
  </si>
  <si>
    <t>Subvenciones oficiales no reintegrables</t>
  </si>
  <si>
    <t>Nota: recoger el año en que se cobran</t>
  </si>
  <si>
    <t>Enisa</t>
  </si>
  <si>
    <t>Trabajos realizados para el I.I.</t>
  </si>
  <si>
    <t>Subvenciones</t>
  </si>
  <si>
    <t>Imprevistos</t>
  </si>
  <si>
    <t>Deducciones salarios I+D</t>
  </si>
  <si>
    <t>Deducción I+D salarios</t>
  </si>
  <si>
    <t>Base después deducción</t>
  </si>
  <si>
    <t>Subvenciones y donaciones</t>
  </si>
  <si>
    <t>Diferencias de valor en instrumentos</t>
  </si>
  <si>
    <t>Diferencias de cambio</t>
  </si>
  <si>
    <t>Activos por impuesto diferido</t>
  </si>
  <si>
    <t>Deuda a corto plazo</t>
  </si>
  <si>
    <t>Proveedores</t>
  </si>
  <si>
    <t>Acreedores por prestaciones de servicios</t>
  </si>
  <si>
    <t>Días medios cobro</t>
  </si>
  <si>
    <t>IPC</t>
  </si>
  <si>
    <t>- SS</t>
  </si>
  <si>
    <t>Aplicaciones informáticas</t>
  </si>
  <si>
    <t>Obras</t>
  </si>
  <si>
    <t>Entidad</t>
  </si>
  <si>
    <t>Importe</t>
  </si>
  <si>
    <t>Tipo</t>
  </si>
  <si>
    <t>Préstamo participativo</t>
  </si>
  <si>
    <t>Póliza de crédito</t>
  </si>
  <si>
    <t>Interés</t>
  </si>
  <si>
    <t>Renovar</t>
  </si>
  <si>
    <t>No renovar</t>
  </si>
  <si>
    <t>Crédito fiscal</t>
  </si>
  <si>
    <t>Cuota final</t>
  </si>
  <si>
    <t>Crédito consumido</t>
  </si>
  <si>
    <t>Comisiones de ventas</t>
  </si>
  <si>
    <t>Incrementos</t>
  </si>
  <si>
    <t>Alquiler de Locales</t>
  </si>
  <si>
    <t>Alquiler de Vehiculos</t>
  </si>
  <si>
    <t>Energia y Agua</t>
  </si>
  <si>
    <t>Material oficina</t>
  </si>
  <si>
    <t>Limpieza oficina</t>
  </si>
  <si>
    <t>Telefonos e internet</t>
  </si>
  <si>
    <t>Seguros</t>
  </si>
  <si>
    <t>Gestoria</t>
  </si>
  <si>
    <t>Consultores y Abogados</t>
  </si>
  <si>
    <t>Comercial</t>
  </si>
  <si>
    <t>Certificaciones</t>
  </si>
  <si>
    <t>Deudas con socios</t>
  </si>
  <si>
    <t>Necesidad financiera de la empresa</t>
  </si>
  <si>
    <t>Año 1</t>
  </si>
  <si>
    <t>Año 2</t>
  </si>
  <si>
    <t>Año 3</t>
  </si>
  <si>
    <t>Año 4</t>
  </si>
  <si>
    <t>Año 5</t>
  </si>
  <si>
    <t>Gastos comerciales y Publicidad</t>
  </si>
  <si>
    <t>Total headcount medio</t>
  </si>
  <si>
    <t>Patentes</t>
  </si>
  <si>
    <t>Subcontratación I+D+i</t>
  </si>
  <si>
    <t>MARGEN BRUTO (excluye activación)</t>
  </si>
  <si>
    <t>Otros activos</t>
  </si>
  <si>
    <t>Incrementos precios</t>
  </si>
  <si>
    <t>Presupuesto de ventas</t>
  </si>
  <si>
    <t>Comercial senior</t>
  </si>
  <si>
    <t>CDTI Neotec</t>
  </si>
  <si>
    <t>Préstamo bancario</t>
  </si>
  <si>
    <t>Viajes</t>
  </si>
  <si>
    <t>TOTAL INGRESOS</t>
  </si>
  <si>
    <t>Clientes nacional</t>
  </si>
  <si>
    <t>Clientes nacionales</t>
  </si>
  <si>
    <t>Torres Quevedo</t>
  </si>
  <si>
    <t>Planta producción</t>
  </si>
  <si>
    <t>Enisa emprendedor</t>
  </si>
  <si>
    <t>Contenidos de Pago</t>
  </si>
  <si>
    <t>Licencias Premium</t>
  </si>
  <si>
    <t>Publicidad</t>
  </si>
  <si>
    <t>- Precio por descargas</t>
  </si>
  <si>
    <t>- Precio por anunciante</t>
  </si>
  <si>
    <t>- Número de licencias anuales</t>
  </si>
  <si>
    <t>- Número de licencias semanales</t>
  </si>
  <si>
    <t>- Número de licencias mensuales</t>
  </si>
  <si>
    <t>- Precio de licencias semanales</t>
  </si>
  <si>
    <t>- Precio de licencias anuales</t>
  </si>
  <si>
    <t>- Precio de licencias mensuales</t>
  </si>
  <si>
    <t xml:space="preserve">Días cliente </t>
  </si>
  <si>
    <t>Combustible</t>
  </si>
  <si>
    <t>Mantenimiento de sistemas</t>
  </si>
  <si>
    <t>Director general</t>
  </si>
  <si>
    <t>Director de Proyecto</t>
  </si>
  <si>
    <t>Programador dispositivos</t>
  </si>
  <si>
    <t>Programador web</t>
  </si>
  <si>
    <t>Maquetador/programador web</t>
  </si>
  <si>
    <t>Administrativo</t>
  </si>
  <si>
    <t>Gasto en promoción</t>
  </si>
  <si>
    <t>Coste por usuario</t>
  </si>
  <si>
    <t>Usuarios</t>
  </si>
  <si>
    <t>- Usuarios gratis</t>
  </si>
  <si>
    <t>- Usuarios pago</t>
  </si>
  <si>
    <t>- Núm. descargas</t>
  </si>
  <si>
    <t>- % licencias premium</t>
  </si>
  <si>
    <t>- % Usuarios Pago</t>
  </si>
  <si>
    <t>- % Usuarios Gratis</t>
  </si>
  <si>
    <t>- Número de anuncios por visita</t>
  </si>
  <si>
    <t>Días de cobro Publicidad</t>
  </si>
  <si>
    <t xml:space="preserve">Total Ingresos </t>
  </si>
  <si>
    <t>Total Ingresos con IVA</t>
  </si>
  <si>
    <t>Ingresos Publicidad</t>
  </si>
  <si>
    <t>Ingresos Publicidad con IVA</t>
  </si>
  <si>
    <t>Director de Arte (diseñador)</t>
  </si>
  <si>
    <t>Editor de Contenidos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</si>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</sst>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%"/>
    <numFmt numFmtId="165" formatCode="0.0"/>
    <numFmt numFmtId="166" formatCode="#,##0.0"/>
    <numFmt numFmtId="167" formatCode="d\-mmm\-yy\ h:mm"/>
    <numFmt numFmtId="168" formatCode="#,##0;\(#,##0\)"/>
    <numFmt numFmtId="169" formatCode="#,##0;\(#,##0\);\-"/>
    <numFmt numFmtId="170" formatCode="#,##0;\(#,##0\);0"/>
    <numFmt numFmtId="171" formatCode="#,##0;[Red]\(#,##0\);0"/>
  </numFmts>
  <fonts count="2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sz val="14"/>
      <name val="Tahoma"/>
      <family val="2"/>
    </font>
    <font>
      <b/>
      <sz val="14"/>
      <name val="Tahoma"/>
      <family val="2"/>
    </font>
    <font>
      <b/>
      <sz val="14"/>
      <color indexed="10"/>
      <name val="Tahoma"/>
      <family val="2"/>
    </font>
    <font>
      <sz val="8"/>
      <color indexed="81"/>
      <name val="Tahoma"/>
    </font>
    <font>
      <b/>
      <sz val="8"/>
      <color indexed="81"/>
      <name val="Tahoma"/>
    </font>
    <font>
      <sz val="8"/>
      <name val="Arial"/>
    </font>
    <font>
      <b/>
      <sz val="10"/>
      <color indexed="18"/>
      <name val="Arial"/>
      <family val="2"/>
    </font>
    <font>
      <sz val="10"/>
      <color indexed="18"/>
      <name val="Arial"/>
    </font>
    <font>
      <b/>
      <i/>
      <sz val="10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10"/>
      <name val="Arial"/>
    </font>
    <font>
      <sz val="9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10"/>
      <color indexed="10"/>
      <name val="Arial"/>
    </font>
    <font>
      <sz val="10"/>
      <color indexed="9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2" fillId="2" borderId="0" xfId="0" applyFont="1" applyFill="1"/>
    <xf numFmtId="0" fontId="0" fillId="2" borderId="0" xfId="0" applyFill="1"/>
    <xf numFmtId="3" fontId="0" fillId="2" borderId="0" xfId="0" applyNumberFormat="1" applyFill="1"/>
    <xf numFmtId="164" fontId="0" fillId="2" borderId="0" xfId="1" applyNumberFormat="1" applyFont="1" applyFill="1"/>
    <xf numFmtId="1" fontId="0" fillId="2" borderId="0" xfId="0" applyNumberFormat="1" applyFill="1"/>
    <xf numFmtId="3" fontId="2" fillId="2" borderId="0" xfId="0" applyNumberFormat="1" applyFont="1" applyFill="1"/>
    <xf numFmtId="0" fontId="4" fillId="2" borderId="0" xfId="0" applyFont="1" applyFill="1"/>
    <xf numFmtId="3" fontId="4" fillId="2" borderId="0" xfId="0" applyNumberFormat="1" applyFont="1" applyFill="1"/>
    <xf numFmtId="0" fontId="3" fillId="2" borderId="0" xfId="0" applyFont="1" applyFill="1"/>
    <xf numFmtId="9" fontId="0" fillId="2" borderId="0" xfId="0" applyNumberFormat="1" applyFill="1"/>
    <xf numFmtId="1" fontId="2" fillId="2" borderId="0" xfId="0" applyNumberFormat="1" applyFont="1" applyFill="1"/>
    <xf numFmtId="1" fontId="3" fillId="2" borderId="0" xfId="0" applyNumberFormat="1" applyFont="1" applyFill="1"/>
    <xf numFmtId="0" fontId="0" fillId="2" borderId="1" xfId="0" applyFill="1" applyBorder="1"/>
    <xf numFmtId="0" fontId="0" fillId="2" borderId="2" xfId="0" applyFill="1" applyBorder="1"/>
    <xf numFmtId="3" fontId="0" fillId="2" borderId="2" xfId="0" applyNumberFormat="1" applyFill="1" applyBorder="1"/>
    <xf numFmtId="3" fontId="0" fillId="2" borderId="3" xfId="0" applyNumberFormat="1" applyFill="1" applyBorder="1"/>
    <xf numFmtId="0" fontId="0" fillId="2" borderId="4" xfId="0" applyFill="1" applyBorder="1"/>
    <xf numFmtId="0" fontId="0" fillId="2" borderId="0" xfId="0" applyFill="1" applyBorder="1"/>
    <xf numFmtId="3" fontId="0" fillId="2" borderId="0" xfId="0" applyNumberFormat="1" applyFill="1" applyBorder="1"/>
    <xf numFmtId="3" fontId="0" fillId="2" borderId="5" xfId="0" applyNumberFormat="1" applyFill="1" applyBorder="1"/>
    <xf numFmtId="0" fontId="2" fillId="2" borderId="4" xfId="0" applyFont="1" applyFill="1" applyBorder="1"/>
    <xf numFmtId="0" fontId="2" fillId="2" borderId="0" xfId="0" applyFont="1" applyFill="1" applyBorder="1"/>
    <xf numFmtId="3" fontId="2" fillId="2" borderId="0" xfId="0" applyNumberFormat="1" applyFont="1" applyFill="1" applyBorder="1"/>
    <xf numFmtId="3" fontId="2" fillId="2" borderId="5" xfId="0" applyNumberFormat="1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0" fontId="3" fillId="2" borderId="4" xfId="0" applyFont="1" applyFill="1" applyBorder="1"/>
    <xf numFmtId="0" fontId="3" fillId="2" borderId="0" xfId="0" applyFont="1" applyFill="1" applyBorder="1"/>
    <xf numFmtId="3" fontId="3" fillId="2" borderId="0" xfId="0" applyNumberFormat="1" applyFont="1" applyFill="1" applyBorder="1"/>
    <xf numFmtId="3" fontId="3" fillId="2" borderId="5" xfId="0" applyNumberFormat="1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1" fontId="2" fillId="2" borderId="2" xfId="0" applyNumberFormat="1" applyFont="1" applyFill="1" applyBorder="1"/>
    <xf numFmtId="1" fontId="2" fillId="2" borderId="3" xfId="0" applyNumberFormat="1" applyFont="1" applyFill="1" applyBorder="1"/>
    <xf numFmtId="9" fontId="0" fillId="2" borderId="0" xfId="1" applyFont="1" applyFill="1"/>
    <xf numFmtId="0" fontId="2" fillId="2" borderId="0" xfId="0" applyFont="1" applyFill="1" applyAlignment="1">
      <alignment horizontal="right"/>
    </xf>
    <xf numFmtId="9" fontId="0" fillId="2" borderId="0" xfId="0" applyNumberFormat="1" applyFill="1" applyBorder="1"/>
    <xf numFmtId="0" fontId="3" fillId="2" borderId="0" xfId="0" applyFont="1" applyFill="1" applyAlignment="1">
      <alignment horizontal="center"/>
    </xf>
    <xf numFmtId="0" fontId="1" fillId="2" borderId="0" xfId="0" applyFont="1" applyFill="1"/>
    <xf numFmtId="0" fontId="5" fillId="2" borderId="0" xfId="0" quotePrefix="1" applyFont="1" applyFill="1" applyAlignment="1">
      <alignment horizontal="center"/>
    </xf>
    <xf numFmtId="167" fontId="6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centerContinuous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3" fontId="0" fillId="3" borderId="0" xfId="0" applyNumberFormat="1" applyFill="1"/>
    <xf numFmtId="0" fontId="2" fillId="2" borderId="0" xfId="0" applyFont="1" applyFill="1" applyAlignment="1">
      <alignment horizontal="left"/>
    </xf>
    <xf numFmtId="3" fontId="3" fillId="2" borderId="0" xfId="0" applyNumberFormat="1" applyFont="1" applyFill="1"/>
    <xf numFmtId="0" fontId="0" fillId="2" borderId="0" xfId="0" applyFill="1" applyAlignment="1">
      <alignment horizontal="right"/>
    </xf>
    <xf numFmtId="3" fontId="3" fillId="3" borderId="0" xfId="0" applyNumberFormat="1" applyFont="1" applyFill="1"/>
    <xf numFmtId="1" fontId="4" fillId="2" borderId="0" xfId="0" applyNumberFormat="1" applyFont="1" applyFill="1"/>
    <xf numFmtId="3" fontId="0" fillId="3" borderId="0" xfId="0" applyNumberFormat="1" applyFill="1" applyBorder="1"/>
    <xf numFmtId="3" fontId="0" fillId="3" borderId="5" xfId="0" applyNumberFormat="1" applyFill="1" applyBorder="1"/>
    <xf numFmtId="9" fontId="0" fillId="3" borderId="0" xfId="0" applyNumberFormat="1" applyFill="1"/>
    <xf numFmtId="9" fontId="3" fillId="2" borderId="0" xfId="1" applyNumberFormat="1" applyFont="1" applyFill="1"/>
    <xf numFmtId="164" fontId="0" fillId="2" borderId="0" xfId="1" applyNumberFormat="1" applyFont="1" applyFill="1" applyBorder="1"/>
    <xf numFmtId="4" fontId="0" fillId="2" borderId="0" xfId="0" applyNumberFormat="1" applyFill="1" applyBorder="1"/>
    <xf numFmtId="2" fontId="0" fillId="2" borderId="0" xfId="0" applyNumberFormat="1" applyFill="1" applyBorder="1"/>
    <xf numFmtId="9" fontId="0" fillId="2" borderId="0" xfId="1" applyNumberFormat="1" applyFont="1" applyFill="1" applyBorder="1"/>
    <xf numFmtId="0" fontId="2" fillId="2" borderId="9" xfId="0" applyFont="1" applyFill="1" applyBorder="1"/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9" fontId="0" fillId="2" borderId="0" xfId="1" applyFont="1" applyFill="1" applyBorder="1"/>
    <xf numFmtId="10" fontId="0" fillId="2" borderId="0" xfId="0" applyNumberFormat="1" applyFill="1" applyBorder="1"/>
    <xf numFmtId="10" fontId="2" fillId="2" borderId="0" xfId="0" applyNumberFormat="1" applyFont="1" applyFill="1" applyBorder="1"/>
    <xf numFmtId="2" fontId="0" fillId="2" borderId="12" xfId="0" applyNumberFormat="1" applyFill="1" applyBorder="1"/>
    <xf numFmtId="164" fontId="2" fillId="2" borderId="0" xfId="1" applyNumberFormat="1" applyFont="1" applyFill="1"/>
    <xf numFmtId="0" fontId="13" fillId="2" borderId="2" xfId="0" applyFont="1" applyFill="1" applyBorder="1"/>
    <xf numFmtId="0" fontId="13" fillId="2" borderId="2" xfId="0" applyFont="1" applyFill="1" applyBorder="1" applyAlignment="1">
      <alignment horizontal="right"/>
    </xf>
    <xf numFmtId="9" fontId="13" fillId="2" borderId="2" xfId="1" applyFont="1" applyFill="1" applyBorder="1" applyAlignment="1">
      <alignment horizontal="right"/>
    </xf>
    <xf numFmtId="0" fontId="13" fillId="2" borderId="0" xfId="0" applyFont="1" applyFill="1"/>
    <xf numFmtId="0" fontId="14" fillId="2" borderId="0" xfId="0" applyFont="1" applyFill="1" applyBorder="1"/>
    <xf numFmtId="0" fontId="14" fillId="2" borderId="0" xfId="0" applyFont="1" applyFill="1" applyBorder="1" applyAlignment="1">
      <alignment horizontal="right"/>
    </xf>
    <xf numFmtId="9" fontId="14" fillId="2" borderId="0" xfId="1" applyFont="1" applyFill="1" applyBorder="1" applyAlignment="1">
      <alignment horizontal="right"/>
    </xf>
    <xf numFmtId="9" fontId="14" fillId="2" borderId="0" xfId="1" applyFont="1" applyFill="1" applyBorder="1"/>
    <xf numFmtId="0" fontId="14" fillId="2" borderId="0" xfId="0" applyFont="1" applyFill="1"/>
    <xf numFmtId="3" fontId="14" fillId="2" borderId="0" xfId="0" applyNumberFormat="1" applyFont="1" applyFill="1" applyBorder="1" applyAlignment="1">
      <alignment horizontal="right"/>
    </xf>
    <xf numFmtId="0" fontId="15" fillId="2" borderId="0" xfId="0" applyFont="1" applyFill="1" applyBorder="1"/>
    <xf numFmtId="3" fontId="15" fillId="2" borderId="0" xfId="0" applyNumberFormat="1" applyFont="1" applyFill="1" applyBorder="1" applyAlignment="1">
      <alignment horizontal="right"/>
    </xf>
    <xf numFmtId="9" fontId="15" fillId="2" borderId="0" xfId="1" applyFont="1" applyFill="1" applyBorder="1" applyAlignment="1">
      <alignment horizontal="right"/>
    </xf>
    <xf numFmtId="9" fontId="15" fillId="2" borderId="0" xfId="1" applyFont="1" applyFill="1" applyBorder="1"/>
    <xf numFmtId="0" fontId="15" fillId="2" borderId="0" xfId="0" applyFont="1" applyFill="1"/>
    <xf numFmtId="0" fontId="16" fillId="2" borderId="0" xfId="0" applyFont="1" applyFill="1" applyBorder="1"/>
    <xf numFmtId="3" fontId="16" fillId="2" borderId="0" xfId="0" applyNumberFormat="1" applyFont="1" applyFill="1" applyBorder="1" applyAlignment="1">
      <alignment horizontal="right"/>
    </xf>
    <xf numFmtId="9" fontId="16" fillId="2" borderId="0" xfId="1" applyFont="1" applyFill="1" applyBorder="1" applyAlignment="1">
      <alignment horizontal="right"/>
    </xf>
    <xf numFmtId="9" fontId="16" fillId="2" borderId="0" xfId="1" applyFont="1" applyFill="1" applyBorder="1"/>
    <xf numFmtId="0" fontId="16" fillId="2" borderId="0" xfId="0" applyFont="1" applyFill="1"/>
    <xf numFmtId="0" fontId="15" fillId="2" borderId="7" xfId="0" applyFont="1" applyFill="1" applyBorder="1"/>
    <xf numFmtId="3" fontId="15" fillId="2" borderId="7" xfId="0" applyNumberFormat="1" applyFont="1" applyFill="1" applyBorder="1" applyAlignment="1">
      <alignment horizontal="right"/>
    </xf>
    <xf numFmtId="9" fontId="15" fillId="2" borderId="7" xfId="1" applyFont="1" applyFill="1" applyBorder="1" applyAlignment="1">
      <alignment horizontal="right"/>
    </xf>
    <xf numFmtId="9" fontId="15" fillId="2" borderId="7" xfId="1" applyFont="1" applyFill="1" applyBorder="1"/>
    <xf numFmtId="3" fontId="14" fillId="2" borderId="0" xfId="0" applyNumberFormat="1" applyFont="1" applyFill="1" applyAlignment="1">
      <alignment horizontal="right"/>
    </xf>
    <xf numFmtId="9" fontId="14" fillId="2" borderId="0" xfId="1" applyFont="1" applyFill="1" applyAlignment="1">
      <alignment horizontal="right"/>
    </xf>
    <xf numFmtId="9" fontId="14" fillId="2" borderId="0" xfId="1" applyFont="1" applyFill="1"/>
    <xf numFmtId="0" fontId="17" fillId="2" borderId="0" xfId="0" applyFont="1" applyFill="1" applyBorder="1"/>
    <xf numFmtId="3" fontId="17" fillId="2" borderId="0" xfId="0" applyNumberFormat="1" applyFont="1" applyFill="1" applyBorder="1" applyAlignment="1">
      <alignment horizontal="right"/>
    </xf>
    <xf numFmtId="9" fontId="17" fillId="2" borderId="0" xfId="1" applyFont="1" applyFill="1" applyBorder="1" applyAlignment="1">
      <alignment horizontal="right"/>
    </xf>
    <xf numFmtId="9" fontId="17" fillId="2" borderId="0" xfId="1" applyFont="1" applyFill="1" applyBorder="1"/>
    <xf numFmtId="0" fontId="17" fillId="2" borderId="0" xfId="0" applyFont="1" applyFill="1"/>
    <xf numFmtId="0" fontId="16" fillId="2" borderId="7" xfId="0" applyFont="1" applyFill="1" applyBorder="1"/>
    <xf numFmtId="3" fontId="16" fillId="2" borderId="7" xfId="0" applyNumberFormat="1" applyFont="1" applyFill="1" applyBorder="1" applyAlignment="1">
      <alignment horizontal="right"/>
    </xf>
    <xf numFmtId="9" fontId="16" fillId="2" borderId="7" xfId="1" applyFont="1" applyFill="1" applyBorder="1" applyAlignment="1">
      <alignment horizontal="right"/>
    </xf>
    <xf numFmtId="9" fontId="16" fillId="2" borderId="7" xfId="1" applyFont="1" applyFill="1" applyBorder="1"/>
    <xf numFmtId="0" fontId="14" fillId="2" borderId="0" xfId="0" applyFont="1" applyFill="1" applyAlignment="1">
      <alignment horizontal="right"/>
    </xf>
    <xf numFmtId="38" fontId="19" fillId="0" borderId="7" xfId="0" applyNumberFormat="1" applyFont="1" applyFill="1" applyBorder="1" applyAlignment="1">
      <alignment horizontal="left" indent="4"/>
    </xf>
    <xf numFmtId="0" fontId="3" fillId="2" borderId="7" xfId="0" applyFont="1" applyFill="1" applyBorder="1" applyAlignment="1">
      <alignment horizontal="center"/>
    </xf>
    <xf numFmtId="0" fontId="0" fillId="2" borderId="7" xfId="0" applyFill="1" applyBorder="1"/>
    <xf numFmtId="0" fontId="0" fillId="0" borderId="0" xfId="0" applyFill="1"/>
    <xf numFmtId="0" fontId="3" fillId="2" borderId="0" xfId="0" applyFont="1" applyFill="1" applyBorder="1" applyAlignment="1">
      <alignment horizontal="center"/>
    </xf>
    <xf numFmtId="0" fontId="20" fillId="2" borderId="7" xfId="0" applyFont="1" applyFill="1" applyBorder="1"/>
    <xf numFmtId="0" fontId="21" fillId="2" borderId="7" xfId="0" applyFont="1" applyFill="1" applyBorder="1"/>
    <xf numFmtId="0" fontId="3" fillId="2" borderId="7" xfId="0" applyFont="1" applyFill="1" applyBorder="1"/>
    <xf numFmtId="0" fontId="3" fillId="0" borderId="0" xfId="0" applyFont="1" applyFill="1"/>
    <xf numFmtId="0" fontId="3" fillId="0" borderId="0" xfId="0" applyFont="1"/>
    <xf numFmtId="0" fontId="4" fillId="2" borderId="13" xfId="0" applyFont="1" applyFill="1" applyBorder="1"/>
    <xf numFmtId="0" fontId="3" fillId="2" borderId="13" xfId="0" applyFont="1" applyFill="1" applyBorder="1" applyAlignment="1">
      <alignment horizontal="center"/>
    </xf>
    <xf numFmtId="0" fontId="2" fillId="2" borderId="13" xfId="0" applyFont="1" applyFill="1" applyBorder="1"/>
    <xf numFmtId="0" fontId="3" fillId="2" borderId="13" xfId="0" applyFont="1" applyFill="1" applyBorder="1"/>
    <xf numFmtId="0" fontId="2" fillId="2" borderId="1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1" fontId="3" fillId="2" borderId="10" xfId="0" applyNumberFormat="1" applyFont="1" applyFill="1" applyBorder="1"/>
    <xf numFmtId="0" fontId="22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right" vertical="center"/>
    </xf>
    <xf numFmtId="168" fontId="2" fillId="2" borderId="0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168" fontId="3" fillId="2" borderId="0" xfId="0" applyNumberFormat="1" applyFont="1" applyFill="1" applyBorder="1" applyAlignment="1">
      <alignment horizontal="right"/>
    </xf>
    <xf numFmtId="0" fontId="3" fillId="2" borderId="0" xfId="0" applyFont="1" applyFill="1" applyAlignment="1"/>
    <xf numFmtId="169" fontId="3" fillId="2" borderId="0" xfId="0" applyNumberFormat="1" applyFont="1" applyFill="1" applyBorder="1"/>
    <xf numFmtId="169" fontId="3" fillId="0" borderId="0" xfId="0" applyNumberFormat="1" applyFont="1" applyFill="1" applyBorder="1"/>
    <xf numFmtId="168" fontId="3" fillId="0" borderId="0" xfId="0" applyNumberFormat="1" applyFont="1" applyFill="1" applyBorder="1" applyAlignment="1">
      <alignment horizontal="right"/>
    </xf>
    <xf numFmtId="0" fontId="2" fillId="2" borderId="15" xfId="0" applyFont="1" applyFill="1" applyBorder="1"/>
    <xf numFmtId="0" fontId="3" fillId="2" borderId="15" xfId="0" applyFont="1" applyFill="1" applyBorder="1" applyAlignment="1">
      <alignment horizontal="center"/>
    </xf>
    <xf numFmtId="170" fontId="2" fillId="2" borderId="15" xfId="0" applyNumberFormat="1" applyFont="1" applyFill="1" applyBorder="1"/>
    <xf numFmtId="3" fontId="2" fillId="2" borderId="15" xfId="0" applyNumberFormat="1" applyFont="1" applyFill="1" applyBorder="1"/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70" fontId="2" fillId="2" borderId="0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170" fontId="4" fillId="2" borderId="0" xfId="0" applyNumberFormat="1" applyFont="1" applyFill="1" applyBorder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indent="1"/>
    </xf>
    <xf numFmtId="169" fontId="23" fillId="2" borderId="0" xfId="0" applyNumberFormat="1" applyFont="1" applyFill="1" applyBorder="1"/>
    <xf numFmtId="168" fontId="23" fillId="2" borderId="0" xfId="0" applyNumberFormat="1" applyFont="1" applyFill="1" applyBorder="1" applyAlignment="1">
      <alignment horizontal="right"/>
    </xf>
    <xf numFmtId="171" fontId="2" fillId="2" borderId="15" xfId="0" applyNumberFormat="1" applyFont="1" applyFill="1" applyBorder="1"/>
    <xf numFmtId="169" fontId="3" fillId="3" borderId="0" xfId="0" applyNumberFormat="1" applyFont="1" applyFill="1" applyBorder="1"/>
    <xf numFmtId="168" fontId="3" fillId="3" borderId="0" xfId="0" applyNumberFormat="1" applyFont="1" applyFill="1" applyBorder="1" applyAlignment="1">
      <alignment horizontal="right"/>
    </xf>
    <xf numFmtId="169" fontId="23" fillId="3" borderId="0" xfId="0" applyNumberFormat="1" applyFont="1" applyFill="1" applyBorder="1"/>
    <xf numFmtId="165" fontId="0" fillId="2" borderId="0" xfId="0" applyNumberFormat="1" applyFill="1"/>
    <xf numFmtId="165" fontId="0" fillId="3" borderId="0" xfId="0" applyNumberFormat="1" applyFill="1"/>
    <xf numFmtId="0" fontId="24" fillId="2" borderId="0" xfId="0" applyFont="1" applyFill="1"/>
    <xf numFmtId="0" fontId="0" fillId="3" borderId="0" xfId="0" applyFill="1"/>
    <xf numFmtId="0" fontId="0" fillId="2" borderId="0" xfId="0" quotePrefix="1" applyFill="1"/>
    <xf numFmtId="0" fontId="3" fillId="3" borderId="0" xfId="0" applyFont="1" applyFill="1"/>
    <xf numFmtId="0" fontId="23" fillId="2" borderId="0" xfId="0" applyFont="1" applyFill="1"/>
    <xf numFmtId="10" fontId="2" fillId="3" borderId="0" xfId="0" applyNumberFormat="1" applyFont="1" applyFill="1" applyBorder="1"/>
    <xf numFmtId="10" fontId="3" fillId="3" borderId="0" xfId="0" applyNumberFormat="1" applyFont="1" applyFill="1" applyAlignment="1">
      <alignment horizontal="center"/>
    </xf>
    <xf numFmtId="0" fontId="0" fillId="2" borderId="0" xfId="0" applyFill="1" applyAlignment="1">
      <alignment wrapText="1"/>
    </xf>
    <xf numFmtId="4" fontId="2" fillId="2" borderId="0" xfId="0" applyNumberFormat="1" applyFont="1" applyFill="1"/>
    <xf numFmtId="166" fontId="0" fillId="2" borderId="0" xfId="0" applyNumberFormat="1" applyFill="1"/>
    <xf numFmtId="10" fontId="3" fillId="2" borderId="0" xfId="0" applyNumberFormat="1" applyFont="1" applyFill="1" applyAlignment="1">
      <alignment horizontal="left"/>
    </xf>
    <xf numFmtId="9" fontId="3" fillId="2" borderId="0" xfId="0" applyNumberFormat="1" applyFont="1" applyFill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9" fontId="2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3" fontId="3" fillId="3" borderId="0" xfId="0" applyNumberFormat="1" applyFont="1" applyFill="1" applyAlignment="1">
      <alignment vertical="center"/>
    </xf>
    <xf numFmtId="164" fontId="0" fillId="2" borderId="0" xfId="1" applyNumberFormat="1" applyFont="1" applyFill="1" applyAlignment="1">
      <alignment vertical="center"/>
    </xf>
    <xf numFmtId="1" fontId="3" fillId="2" borderId="5" xfId="0" applyNumberFormat="1" applyFont="1" applyFill="1" applyBorder="1"/>
    <xf numFmtId="168" fontId="0" fillId="2" borderId="0" xfId="0" applyNumberFormat="1" applyFill="1"/>
    <xf numFmtId="10" fontId="0" fillId="2" borderId="0" xfId="0" applyNumberFormat="1" applyFill="1"/>
    <xf numFmtId="165" fontId="3" fillId="3" borderId="0" xfId="0" applyNumberFormat="1" applyFont="1" applyFill="1"/>
    <xf numFmtId="0" fontId="0" fillId="2" borderId="9" xfId="0" applyFill="1" applyBorder="1"/>
    <xf numFmtId="0" fontId="0" fillId="2" borderId="10" xfId="0" applyFill="1" applyBorder="1"/>
    <xf numFmtId="171" fontId="2" fillId="2" borderId="11" xfId="0" applyNumberFormat="1" applyFont="1" applyFill="1" applyBorder="1"/>
    <xf numFmtId="9" fontId="3" fillId="2" borderId="0" xfId="1" applyFont="1" applyFill="1"/>
    <xf numFmtId="0" fontId="25" fillId="2" borderId="0" xfId="0" applyFont="1" applyFill="1"/>
    <xf numFmtId="168" fontId="25" fillId="2" borderId="0" xfId="0" applyNumberFormat="1" applyFont="1" applyFill="1"/>
    <xf numFmtId="0" fontId="0" fillId="2" borderId="0" xfId="0" applyFill="1" applyAlignment="1">
      <alignment horizontal="center"/>
    </xf>
    <xf numFmtId="9" fontId="0" fillId="3" borderId="0" xfId="0" applyNumberFormat="1" applyFill="1" applyAlignment="1">
      <alignment horizontal="center"/>
    </xf>
    <xf numFmtId="9" fontId="18" fillId="3" borderId="0" xfId="1" applyFont="1" applyFill="1"/>
    <xf numFmtId="3" fontId="3" fillId="2" borderId="0" xfId="0" applyNumberFormat="1" applyFont="1" applyFill="1" applyAlignment="1">
      <alignment horizontal="right"/>
    </xf>
    <xf numFmtId="170" fontId="2" fillId="3" borderId="0" xfId="0" applyNumberFormat="1" applyFont="1" applyFill="1" applyBorder="1"/>
    <xf numFmtId="3" fontId="0" fillId="2" borderId="0" xfId="0" applyNumberForma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9" fontId="18" fillId="2" borderId="0" xfId="1" applyFont="1" applyFill="1" applyBorder="1"/>
    <xf numFmtId="3" fontId="26" fillId="2" borderId="0" xfId="0" applyNumberFormat="1" applyFont="1" applyFill="1" applyBorder="1" applyAlignment="1">
      <alignment horizontal="right"/>
    </xf>
    <xf numFmtId="9" fontId="3" fillId="2" borderId="0" xfId="1" applyNumberFormat="1" applyFont="1" applyFill="1" applyBorder="1"/>
    <xf numFmtId="0" fontId="0" fillId="2" borderId="0" xfId="0" applyFill="1" applyAlignment="1">
      <alignment horizontal="left"/>
    </xf>
    <xf numFmtId="0" fontId="3" fillId="2" borderId="1" xfId="0" applyFont="1" applyFill="1" applyBorder="1"/>
    <xf numFmtId="0" fontId="3" fillId="2" borderId="0" xfId="0" quotePrefix="1" applyFont="1" applyFill="1"/>
    <xf numFmtId="0" fontId="0" fillId="3" borderId="0" xfId="0" applyFill="1" applyAlignment="1">
      <alignment horizontal="center"/>
    </xf>
    <xf numFmtId="3" fontId="0" fillId="3" borderId="0" xfId="0" applyNumberFormat="1" applyFill="1" applyAlignment="1">
      <alignment horizontal="center"/>
    </xf>
    <xf numFmtId="9" fontId="0" fillId="2" borderId="0" xfId="0" applyNumberFormat="1" applyFill="1" applyAlignment="1">
      <alignment horizontal="center"/>
    </xf>
    <xf numFmtId="4" fontId="0" fillId="2" borderId="0" xfId="0" applyNumberFormat="1" applyFill="1" applyAlignment="1">
      <alignment horizontal="center"/>
    </xf>
    <xf numFmtId="49" fontId="3" fillId="2" borderId="0" xfId="0" applyNumberFormat="1" applyFont="1" applyFill="1"/>
    <xf numFmtId="9" fontId="18" fillId="5" borderId="0" xfId="1" applyFont="1" applyFill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618571528220754E-2"/>
          <c:y val="3.5000042724661562E-2"/>
          <c:w val="0.95434531073478879"/>
          <c:h val="0.852501040650684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Graficos!$B$63:$F$63</c:f>
              <c:strCache>
                <c:ptCount val="1"/>
                <c:pt idx="0">
                  <c:v>Año 1 Año 2 Año 3 Año 4 Año 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Graficos!$B$63:$F$63</c:f>
              <c:strCache>
                <c:ptCount val="5"/>
                <c:pt idx="0">
                  <c:v>Año 1</c:v>
                </c:pt>
                <c:pt idx="1">
                  <c:v>Año 2</c:v>
                </c:pt>
                <c:pt idx="2">
                  <c:v>Año 3</c:v>
                </c:pt>
                <c:pt idx="3">
                  <c:v>Año 4</c:v>
                </c:pt>
                <c:pt idx="4">
                  <c:v>Año 5</c:v>
                </c:pt>
              </c:strCache>
            </c:strRef>
          </c:cat>
          <c:val>
            <c:numRef>
              <c:f>Graficos!$B$64:$F$64</c:f>
              <c:numCache>
                <c:formatCode>#,##0</c:formatCode>
                <c:ptCount val="5"/>
                <c:pt idx="0">
                  <c:v>461500</c:v>
                </c:pt>
                <c:pt idx="1">
                  <c:v>941460</c:v>
                </c:pt>
                <c:pt idx="2">
                  <c:v>1903818.5249999999</c:v>
                </c:pt>
                <c:pt idx="3">
                  <c:v>1189594.3800000004</c:v>
                </c:pt>
                <c:pt idx="4">
                  <c:v>4239643.3497600006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420096"/>
        <c:axId val="146421632"/>
      </c:barChart>
      <c:catAx>
        <c:axId val="14642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6421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42163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14642009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33" r="0.75000000000000033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474286112882947E-2"/>
          <c:y val="6.250007629403849E-2"/>
          <c:w val="0.79086949361818182"/>
          <c:h val="0.8025009796154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Graficos!$A$67</c:f>
              <c:strCache>
                <c:ptCount val="1"/>
                <c:pt idx="0">
                  <c:v>EBITDA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Graficos!$B$66:$F$66</c:f>
              <c:strCache>
                <c:ptCount val="5"/>
                <c:pt idx="0">
                  <c:v>Año 1</c:v>
                </c:pt>
                <c:pt idx="1">
                  <c:v>Año 2</c:v>
                </c:pt>
                <c:pt idx="2">
                  <c:v>Año 3</c:v>
                </c:pt>
                <c:pt idx="3">
                  <c:v>Año 4</c:v>
                </c:pt>
                <c:pt idx="4">
                  <c:v>Año 5</c:v>
                </c:pt>
              </c:strCache>
            </c:strRef>
          </c:cat>
          <c:val>
            <c:numRef>
              <c:f>Graficos!$B$67:$F$67</c:f>
              <c:numCache>
                <c:formatCode>#,##0</c:formatCode>
                <c:ptCount val="5"/>
                <c:pt idx="0">
                  <c:v>-234805.2</c:v>
                </c:pt>
                <c:pt idx="1">
                  <c:v>-40201.069999999949</c:v>
                </c:pt>
                <c:pt idx="2">
                  <c:v>538066.47725</c:v>
                </c:pt>
                <c:pt idx="3">
                  <c:v>344411.24516100017</c:v>
                </c:pt>
                <c:pt idx="4">
                  <c:v>2082997.3850915304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6467840"/>
        <c:axId val="145699584"/>
      </c:barChart>
      <c:lineChart>
        <c:grouping val="standard"/>
        <c:varyColors val="0"/>
        <c:ser>
          <c:idx val="1"/>
          <c:order val="1"/>
          <c:tx>
            <c:strRef>
              <c:f>Graficos!$A$68</c:f>
              <c:strCache>
                <c:ptCount val="1"/>
                <c:pt idx="0">
                  <c:v>% of total sales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Graficos!$B$66:$F$66</c:f>
              <c:strCache>
                <c:ptCount val="5"/>
                <c:pt idx="0">
                  <c:v>Año 1</c:v>
                </c:pt>
                <c:pt idx="1">
                  <c:v>Año 2</c:v>
                </c:pt>
                <c:pt idx="2">
                  <c:v>Año 3</c:v>
                </c:pt>
                <c:pt idx="3">
                  <c:v>Año 4</c:v>
                </c:pt>
                <c:pt idx="4">
                  <c:v>Año 5</c:v>
                </c:pt>
              </c:strCache>
            </c:strRef>
          </c:cat>
          <c:val>
            <c:numRef>
              <c:f>Graficos!$B$68:$F$68</c:f>
              <c:numCache>
                <c:formatCode>0.0%</c:formatCode>
                <c:ptCount val="5"/>
                <c:pt idx="1">
                  <c:v>-4.2700773267053245E-2</c:v>
                </c:pt>
                <c:pt idx="2">
                  <c:v>0.28262487741577158</c:v>
                </c:pt>
                <c:pt idx="3">
                  <c:v>0.28951989934670008</c:v>
                </c:pt>
                <c:pt idx="4">
                  <c:v>0.49131429538983401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6459264"/>
        <c:axId val="146466304"/>
      </c:lineChart>
      <c:catAx>
        <c:axId val="14645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6466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466304"/>
        <c:scaling>
          <c:orientation val="minMax"/>
          <c:max val="0.2"/>
          <c:min val="-0.2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6459264"/>
        <c:crosses val="autoZero"/>
        <c:crossBetween val="between"/>
      </c:valAx>
      <c:catAx>
        <c:axId val="146467840"/>
        <c:scaling>
          <c:orientation val="minMax"/>
        </c:scaling>
        <c:delete val="1"/>
        <c:axPos val="b"/>
        <c:majorTickMark val="out"/>
        <c:minorTickMark val="none"/>
        <c:tickLblPos val="none"/>
        <c:crossAx val="145699584"/>
        <c:crosses val="autoZero"/>
        <c:auto val="1"/>
        <c:lblAlgn val="ctr"/>
        <c:lblOffset val="100"/>
        <c:noMultiLvlLbl val="0"/>
      </c:catAx>
      <c:valAx>
        <c:axId val="145699584"/>
        <c:scaling>
          <c:orientation val="minMax"/>
          <c:max val="7000000"/>
          <c:min val="-30000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646784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3873374075663221"/>
          <c:y val="0.93250104986876636"/>
          <c:w val="0.31664227538568029"/>
          <c:h val="5.9999999999999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8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814055636896063E-2"/>
          <c:y val="6.2189205800115173E-2"/>
          <c:w val="0.8565153733528551"/>
          <c:h val="0.771146151921427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Graficos!$A$71</c:f>
              <c:strCache>
                <c:ptCount val="1"/>
                <c:pt idx="0">
                  <c:v>Gross margin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Graficos!$B$70:$F$70</c:f>
              <c:strCache>
                <c:ptCount val="5"/>
                <c:pt idx="0">
                  <c:v>Año 1</c:v>
                </c:pt>
                <c:pt idx="1">
                  <c:v>Año 2</c:v>
                </c:pt>
                <c:pt idx="2">
                  <c:v>Año 3</c:v>
                </c:pt>
                <c:pt idx="3">
                  <c:v>Año 4</c:v>
                </c:pt>
                <c:pt idx="4">
                  <c:v>Año 5</c:v>
                </c:pt>
              </c:strCache>
            </c:strRef>
          </c:cat>
          <c:val>
            <c:numRef>
              <c:f>Graficos!$B$71:$F$71</c:f>
              <c:numCache>
                <c:formatCode>#,##0</c:formatCode>
                <c:ptCount val="5"/>
                <c:pt idx="0">
                  <c:v>336500</c:v>
                </c:pt>
                <c:pt idx="1">
                  <c:v>635460</c:v>
                </c:pt>
                <c:pt idx="2">
                  <c:v>1352253.5249999999</c:v>
                </c:pt>
                <c:pt idx="3">
                  <c:v>1189594.3800000004</c:v>
                </c:pt>
                <c:pt idx="4">
                  <c:v>3131722.6137600006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0272"/>
        <c:axId val="146735104"/>
      </c:barChart>
      <c:lineChart>
        <c:grouping val="standard"/>
        <c:varyColors val="0"/>
        <c:ser>
          <c:idx val="1"/>
          <c:order val="1"/>
          <c:tx>
            <c:strRef>
              <c:f>Graficos!$A$72</c:f>
              <c:strCache>
                <c:ptCount val="1"/>
                <c:pt idx="0">
                  <c:v>% of total sales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Graficos!$B$70:$F$70</c:f>
              <c:strCache>
                <c:ptCount val="5"/>
                <c:pt idx="0">
                  <c:v>Año 1</c:v>
                </c:pt>
                <c:pt idx="1">
                  <c:v>Año 2</c:v>
                </c:pt>
                <c:pt idx="2">
                  <c:v>Año 3</c:v>
                </c:pt>
                <c:pt idx="3">
                  <c:v>Año 4</c:v>
                </c:pt>
                <c:pt idx="4">
                  <c:v>Año 5</c:v>
                </c:pt>
              </c:strCache>
            </c:strRef>
          </c:cat>
          <c:val>
            <c:numRef>
              <c:f>Graficos!$B$72:$F$72</c:f>
              <c:numCache>
                <c:formatCode>0.0%</c:formatCode>
                <c:ptCount val="5"/>
                <c:pt idx="1">
                  <c:v>0.67497291440953411</c:v>
                </c:pt>
                <c:pt idx="2">
                  <c:v>0.71028488652824717</c:v>
                </c:pt>
                <c:pt idx="3">
                  <c:v>0</c:v>
                </c:pt>
                <c:pt idx="4">
                  <c:v>0.73867595818815335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30560"/>
        <c:axId val="145748736"/>
      </c:lineChart>
      <c:catAx>
        <c:axId val="14573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5748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4873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5730560"/>
        <c:crosses val="autoZero"/>
        <c:crossBetween val="between"/>
      </c:valAx>
      <c:catAx>
        <c:axId val="145750272"/>
        <c:scaling>
          <c:orientation val="minMax"/>
        </c:scaling>
        <c:delete val="1"/>
        <c:axPos val="b"/>
        <c:majorTickMark val="out"/>
        <c:minorTickMark val="none"/>
        <c:tickLblPos val="none"/>
        <c:crossAx val="146735104"/>
        <c:crosses val="autoZero"/>
        <c:auto val="1"/>
        <c:lblAlgn val="ctr"/>
        <c:lblOffset val="100"/>
        <c:noMultiLvlLbl val="0"/>
      </c:catAx>
      <c:valAx>
        <c:axId val="146735104"/>
        <c:scaling>
          <c:orientation val="minMax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5750272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2454464336236597"/>
          <c:y val="0.93781329572609362"/>
          <c:w val="0.31343335814366491"/>
          <c:h val="5.47266293205886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8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33" r="0.75000000000000033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588235294117647E-2"/>
          <c:y val="3.7313523480069118E-2"/>
          <c:w val="0.9544117647058824"/>
          <c:h val="0.79353426600946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Graficos!$A$76</c:f>
              <c:strCache>
                <c:ptCount val="1"/>
                <c:pt idx="0">
                  <c:v>Personnel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Graficos!$B$75:$F$75</c:f>
              <c:strCache>
                <c:ptCount val="5"/>
                <c:pt idx="0">
                  <c:v>Año 1</c:v>
                </c:pt>
                <c:pt idx="1">
                  <c:v>Año 2</c:v>
                </c:pt>
                <c:pt idx="2">
                  <c:v>Año 3</c:v>
                </c:pt>
                <c:pt idx="3">
                  <c:v>Año 4</c:v>
                </c:pt>
                <c:pt idx="4">
                  <c:v>Año 5</c:v>
                </c:pt>
              </c:strCache>
            </c:strRef>
          </c:cat>
          <c:val>
            <c:numRef>
              <c:f>Graficos!$B$76:$F$76</c:f>
              <c:numCache>
                <c:formatCode>#,##0</c:formatCode>
                <c:ptCount val="5"/>
                <c:pt idx="0">
                  <c:v>264714.2</c:v>
                </c:pt>
                <c:pt idx="1">
                  <c:v>350127.83999999997</c:v>
                </c:pt>
                <c:pt idx="2">
                  <c:v>468674.40585000004</c:v>
                </c:pt>
                <c:pt idx="3">
                  <c:v>479650.73413200007</c:v>
                </c:pt>
                <c:pt idx="4">
                  <c:v>658129.35773676005</c:v>
                </c:pt>
              </c:numCache>
            </c:numRef>
          </c:val>
        </c:ser>
        <c:ser>
          <c:idx val="2"/>
          <c:order val="1"/>
          <c:tx>
            <c:strRef>
              <c:f>Graficos!$A$77</c:f>
              <c:strCache>
                <c:ptCount val="1"/>
                <c:pt idx="0">
                  <c:v>Operating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Graficos!$B$75:$F$75</c:f>
              <c:strCache>
                <c:ptCount val="5"/>
                <c:pt idx="0">
                  <c:v>Año 1</c:v>
                </c:pt>
                <c:pt idx="1">
                  <c:v>Año 2</c:v>
                </c:pt>
                <c:pt idx="2">
                  <c:v>Año 3</c:v>
                </c:pt>
                <c:pt idx="3">
                  <c:v>Año 4</c:v>
                </c:pt>
                <c:pt idx="4">
                  <c:v>Año 5</c:v>
                </c:pt>
              </c:strCache>
            </c:strRef>
          </c:cat>
          <c:val>
            <c:numRef>
              <c:f>Graficos!$B$77:$F$77</c:f>
              <c:numCache>
                <c:formatCode>#,##0</c:formatCode>
                <c:ptCount val="5"/>
                <c:pt idx="0">
                  <c:v>412675</c:v>
                </c:pt>
                <c:pt idx="1">
                  <c:v>458139.75</c:v>
                </c:pt>
                <c:pt idx="2">
                  <c:v>500717.35749999998</c:v>
                </c:pt>
                <c:pt idx="3">
                  <c:v>543413.25777500006</c:v>
                </c:pt>
                <c:pt idx="4">
                  <c:v>601233.15371174994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6785408"/>
        <c:axId val="146786944"/>
      </c:barChart>
      <c:catAx>
        <c:axId val="14678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678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78694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1467854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588235294117648"/>
          <c:y val="0.93781329572609362"/>
          <c:w val="0.29411764705882376"/>
          <c:h val="5.47266293205886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8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33" r="0.75000000000000033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0</xdr:row>
      <xdr:rowOff>114300</xdr:rowOff>
    </xdr:from>
    <xdr:to>
      <xdr:col>7</xdr:col>
      <xdr:colOff>628650</xdr:colOff>
      <xdr:row>24</xdr:row>
      <xdr:rowOff>38100</xdr:rowOff>
    </xdr:to>
    <xdr:graphicFrame macro="">
      <xdr:nvGraphicFramePr>
        <xdr:cNvPr id="10721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76200</xdr:colOff>
      <xdr:row>0</xdr:row>
      <xdr:rowOff>114300</xdr:rowOff>
    </xdr:from>
    <xdr:to>
      <xdr:col>16</xdr:col>
      <xdr:colOff>447675</xdr:colOff>
      <xdr:row>24</xdr:row>
      <xdr:rowOff>38100</xdr:rowOff>
    </xdr:to>
    <xdr:graphicFrame macro="">
      <xdr:nvGraphicFramePr>
        <xdr:cNvPr id="107218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390525</xdr:colOff>
      <xdr:row>25</xdr:row>
      <xdr:rowOff>47625</xdr:rowOff>
    </xdr:from>
    <xdr:to>
      <xdr:col>7</xdr:col>
      <xdr:colOff>638175</xdr:colOff>
      <xdr:row>48</xdr:row>
      <xdr:rowOff>152400</xdr:rowOff>
    </xdr:to>
    <xdr:graphicFrame macro="">
      <xdr:nvGraphicFramePr>
        <xdr:cNvPr id="107218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76200</xdr:colOff>
      <xdr:row>25</xdr:row>
      <xdr:rowOff>47625</xdr:rowOff>
    </xdr:from>
    <xdr:to>
      <xdr:col>16</xdr:col>
      <xdr:colOff>457200</xdr:colOff>
      <xdr:row>48</xdr:row>
      <xdr:rowOff>152400</xdr:rowOff>
    </xdr:to>
    <xdr:graphicFrame macro="">
      <xdr:nvGraphicFramePr>
        <xdr:cNvPr id="107218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6:I35"/>
  <sheetViews>
    <sheetView tabSelected="1" topLeftCell="A7" workbookViewId="0">
      <selection activeCell="F15" sqref="F15"/>
    </sheetView>
  </sheetViews>
  <sheetFormatPr baseColWidth="10" defaultColWidth="9.140625" defaultRowHeight="12.75" x14ac:dyDescent="0.2"/>
  <cols>
    <col min="1" max="3" width="9.140625" style="2" customWidth="1"/>
    <col min="4" max="4" width="7.140625" style="2" customWidth="1"/>
    <col min="5" max="5" width="13.42578125" style="2" customWidth="1"/>
    <col min="6" max="6" width="11.42578125" style="2" customWidth="1"/>
    <col min="7" max="7" width="16.5703125" style="2" customWidth="1"/>
    <col min="8" max="8" width="12.28515625" style="2" customWidth="1"/>
    <col min="9" max="9" width="13.140625" style="2" customWidth="1"/>
    <col min="10" max="11" width="9.140625" style="2" customWidth="1"/>
    <col min="12" max="12" width="0.5703125" style="2" customWidth="1"/>
    <col min="13" max="13" width="16.7109375" style="2" bestFit="1" customWidth="1"/>
    <col min="14" max="16384" width="9.140625" style="2"/>
  </cols>
  <sheetData>
    <row r="6" spans="4:7" x14ac:dyDescent="0.2">
      <c r="D6" s="41"/>
      <c r="E6" s="41"/>
    </row>
    <row r="14" spans="4:7" ht="18.75" x14ac:dyDescent="0.3">
      <c r="G14" s="42"/>
    </row>
    <row r="20" spans="7:9" ht="15.75" x14ac:dyDescent="0.25">
      <c r="H20" s="43"/>
      <c r="I20" s="44"/>
    </row>
    <row r="21" spans="7:9" ht="18" x14ac:dyDescent="0.25">
      <c r="G21" s="45" t="s">
        <v>97</v>
      </c>
    </row>
    <row r="22" spans="7:9" ht="18" x14ac:dyDescent="0.25">
      <c r="G22" s="45" t="s">
        <v>95</v>
      </c>
    </row>
    <row r="23" spans="7:9" ht="18" x14ac:dyDescent="0.25">
      <c r="G23" s="46" t="s">
        <v>317</v>
      </c>
    </row>
    <row r="24" spans="7:9" ht="18" x14ac:dyDescent="0.25">
      <c r="G24" s="45"/>
    </row>
    <row r="26" spans="7:9" ht="18" x14ac:dyDescent="0.25">
      <c r="G26" s="47" t="s">
        <v>96</v>
      </c>
    </row>
    <row r="28" spans="7:9" ht="3" customHeight="1" x14ac:dyDescent="0.2"/>
    <row r="29" spans="7:9" ht="5.25" customHeight="1" x14ac:dyDescent="0.2"/>
    <row r="31" spans="7:9" ht="5.25" customHeight="1" x14ac:dyDescent="0.2"/>
    <row r="33" ht="5.25" customHeight="1" x14ac:dyDescent="0.2"/>
    <row r="35" ht="5.25" customHeight="1" x14ac:dyDescent="0.2"/>
  </sheetData>
  <phoneticPr fontId="0" type="noConversion"/>
  <printOptions horizontalCentered="1" verticalCentered="1"/>
  <pageMargins left="0.78740157480314965" right="0.78740157480314965" top="0.98425196850393704" bottom="0.98425196850393704" header="0" footer="0"/>
  <pageSetup paperSize="9" scale="9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zoomScaleNormal="100" workbookViewId="0">
      <selection activeCell="F15" sqref="F15"/>
    </sheetView>
  </sheetViews>
  <sheetFormatPr baseColWidth="10" defaultRowHeight="12.75" x14ac:dyDescent="0.2"/>
  <cols>
    <col min="1" max="1" width="2.140625" style="2" customWidth="1"/>
    <col min="2" max="2" width="33.85546875" style="2" bestFit="1" customWidth="1"/>
    <col min="3" max="3" width="3.140625" style="2" customWidth="1"/>
    <col min="4" max="7" width="11.42578125" style="2"/>
    <col min="8" max="8" width="12.42578125" style="2" bestFit="1" customWidth="1"/>
    <col min="9" max="16384" width="11.42578125" style="2"/>
  </cols>
  <sheetData>
    <row r="1" spans="1:11" s="1" customFormat="1" x14ac:dyDescent="0.2">
      <c r="A1" s="1" t="s">
        <v>23</v>
      </c>
    </row>
    <row r="2" spans="1:11" x14ac:dyDescent="0.2">
      <c r="A2" s="2" t="s">
        <v>104</v>
      </c>
    </row>
    <row r="4" spans="1:11" s="38" customFormat="1" x14ac:dyDescent="0.2">
      <c r="D4" s="38" t="str">
        <f>+PyG!D4</f>
        <v>Año 1</v>
      </c>
      <c r="E4" s="38" t="str">
        <f>+PyG!E4</f>
        <v>Año 2</v>
      </c>
      <c r="F4" s="38" t="str">
        <f>+PyG!F4</f>
        <v>Año 3</v>
      </c>
      <c r="G4" s="38" t="str">
        <f>+PyG!G4</f>
        <v>Año 4</v>
      </c>
      <c r="H4" s="38" t="str">
        <f>+PyG!H4</f>
        <v>Año 5</v>
      </c>
    </row>
    <row r="5" spans="1:11" s="38" customFormat="1" x14ac:dyDescent="0.2">
      <c r="B5" s="2" t="str">
        <f>+'Balance histórico'!B5</f>
        <v>Gastos de establecimiento</v>
      </c>
      <c r="C5" s="3"/>
      <c r="D5" s="3">
        <f>+Capex!D21</f>
        <v>0</v>
      </c>
      <c r="E5" s="3">
        <f>+Capex!E21</f>
        <v>0</v>
      </c>
      <c r="F5" s="3">
        <f>+Capex!F21</f>
        <v>0</v>
      </c>
      <c r="G5" s="3">
        <f>+Capex!G21</f>
        <v>0</v>
      </c>
      <c r="H5" s="3">
        <f>+Capex!H21</f>
        <v>0</v>
      </c>
    </row>
    <row r="6" spans="1:11" x14ac:dyDescent="0.2">
      <c r="B6" s="2" t="str">
        <f>+'Balance histórico'!B6</f>
        <v>Inmovilizaciones inmateriales</v>
      </c>
      <c r="C6" s="3"/>
      <c r="D6" s="3">
        <f>+Capex!D25</f>
        <v>113533.86666666667</v>
      </c>
      <c r="E6" s="3">
        <f>+Capex!E25</f>
        <v>185068.94933333332</v>
      </c>
      <c r="F6" s="3">
        <f>+Capex!F25</f>
        <v>248161.28448000003</v>
      </c>
      <c r="G6" s="3">
        <f>+Capex!G25</f>
        <v>310686.92301440006</v>
      </c>
      <c r="H6" s="3">
        <f>+Capex!H25</f>
        <v>363841.53070483205</v>
      </c>
      <c r="J6" s="3"/>
      <c r="K6" s="3"/>
    </row>
    <row r="7" spans="1:11" x14ac:dyDescent="0.2">
      <c r="B7" s="2" t="str">
        <f>+'Balance histórico'!B7</f>
        <v>Inmovilizaciones materiales</v>
      </c>
      <c r="C7" s="3"/>
      <c r="D7" s="3">
        <f>+Capex!D30</f>
        <v>22400</v>
      </c>
      <c r="E7" s="3">
        <f>+Capex!E30</f>
        <v>18912</v>
      </c>
      <c r="F7" s="3">
        <f>+Capex!F30</f>
        <v>12184</v>
      </c>
      <c r="G7" s="3">
        <f>+Capex!G30</f>
        <v>6896</v>
      </c>
      <c r="H7" s="3">
        <f>+Capex!H30</f>
        <v>288</v>
      </c>
      <c r="J7" s="3"/>
      <c r="K7" s="3"/>
    </row>
    <row r="8" spans="1:11" x14ac:dyDescent="0.2">
      <c r="B8" s="2" t="str">
        <f>+'Balance histórico'!B8</f>
        <v>Inmovilizaciones financieras</v>
      </c>
      <c r="C8" s="3"/>
      <c r="D8" s="3">
        <f>+Capex!D31</f>
        <v>0</v>
      </c>
      <c r="E8" s="3">
        <f>+Capex!E31</f>
        <v>0</v>
      </c>
      <c r="F8" s="3">
        <f>+Capex!F31</f>
        <v>0</v>
      </c>
      <c r="G8" s="3">
        <f>+Capex!G31</f>
        <v>0</v>
      </c>
      <c r="H8" s="3">
        <f>+Capex!H31</f>
        <v>0</v>
      </c>
      <c r="J8" s="3"/>
      <c r="K8" s="3"/>
    </row>
    <row r="9" spans="1:11" x14ac:dyDescent="0.2">
      <c r="B9" s="2" t="s">
        <v>267</v>
      </c>
      <c r="C9" s="3"/>
      <c r="D9" s="3">
        <v>0</v>
      </c>
      <c r="E9" s="3">
        <v>0</v>
      </c>
      <c r="F9" s="3">
        <v>0</v>
      </c>
      <c r="G9" s="3">
        <v>0</v>
      </c>
      <c r="H9" s="3">
        <v>0</v>
      </c>
      <c r="J9" s="3"/>
      <c r="K9" s="3"/>
    </row>
    <row r="10" spans="1:11" s="7" customFormat="1" x14ac:dyDescent="0.2">
      <c r="B10" s="7" t="s">
        <v>51</v>
      </c>
      <c r="C10" s="8"/>
      <c r="D10" s="8">
        <f>SUM(D5:D8)</f>
        <v>135933.86666666667</v>
      </c>
      <c r="E10" s="8">
        <f>SUM(E5:E8)</f>
        <v>203980.94933333332</v>
      </c>
      <c r="F10" s="8">
        <f>SUM(F5:F8)</f>
        <v>260345.28448000003</v>
      </c>
      <c r="G10" s="8">
        <f>SUM(G5:G8)</f>
        <v>317582.92301440006</v>
      </c>
      <c r="H10" s="8">
        <f>SUM(H5:H8)</f>
        <v>364129.53070483205</v>
      </c>
      <c r="J10" s="8"/>
      <c r="K10" s="3"/>
    </row>
    <row r="11" spans="1:11" s="7" customFormat="1" x14ac:dyDescent="0.2">
      <c r="C11" s="8"/>
      <c r="D11" s="8"/>
      <c r="E11" s="8"/>
      <c r="F11" s="8"/>
      <c r="G11" s="8"/>
      <c r="H11" s="8"/>
      <c r="J11" s="8"/>
    </row>
    <row r="12" spans="1:11" s="7" customFormat="1" x14ac:dyDescent="0.2">
      <c r="B12" s="7" t="str">
        <f>+'Balance histórico'!B12</f>
        <v>Gastos a distribuir en varios ejercicios</v>
      </c>
      <c r="C12" s="8"/>
      <c r="D12" s="8">
        <f>+C12</f>
        <v>0</v>
      </c>
      <c r="E12" s="8">
        <f>+D12</f>
        <v>0</v>
      </c>
      <c r="F12" s="8">
        <f>+E12</f>
        <v>0</v>
      </c>
      <c r="G12" s="8">
        <f>+F12</f>
        <v>0</v>
      </c>
      <c r="H12" s="8">
        <f>+G12</f>
        <v>0</v>
      </c>
      <c r="J12" s="8"/>
    </row>
    <row r="13" spans="1:11" x14ac:dyDescent="0.2">
      <c r="C13" s="3"/>
      <c r="D13" s="3"/>
      <c r="E13" s="3"/>
      <c r="F13" s="3"/>
      <c r="G13" s="3"/>
      <c r="H13" s="3"/>
      <c r="J13" s="3"/>
    </row>
    <row r="14" spans="1:11" x14ac:dyDescent="0.2">
      <c r="B14" s="2" t="str">
        <f>+'Balance histórico'!B14</f>
        <v>Existencias</v>
      </c>
      <c r="C14" s="3"/>
      <c r="D14" s="3">
        <f>+'Masas de balance'!D12</f>
        <v>0</v>
      </c>
      <c r="E14" s="3">
        <f>+'Masas de balance'!E12</f>
        <v>0</v>
      </c>
      <c r="F14" s="3">
        <f>+'Masas de balance'!F12</f>
        <v>0</v>
      </c>
      <c r="G14" s="3">
        <f>+'Masas de balance'!G12</f>
        <v>0</v>
      </c>
      <c r="H14" s="3">
        <f>+'Masas de balance'!H12</f>
        <v>0</v>
      </c>
      <c r="J14" s="3"/>
      <c r="K14" s="3"/>
    </row>
    <row r="15" spans="1:11" x14ac:dyDescent="0.2">
      <c r="B15" s="9" t="s">
        <v>276</v>
      </c>
      <c r="C15" s="3"/>
      <c r="D15" s="3">
        <f>+'Masas de balance'!D13</f>
        <v>13638.698630136987</v>
      </c>
      <c r="E15" s="3">
        <f>+'Masas de balance'!E13</f>
        <v>27822.945205479453</v>
      </c>
      <c r="F15" s="3"/>
      <c r="G15" s="3">
        <f>+'Masas de balance'!G13</f>
        <v>89411.816712328786</v>
      </c>
      <c r="H15" s="3">
        <f>+'Masas de balance'!H13</f>
        <v>112825.79111539728</v>
      </c>
      <c r="J15" s="3"/>
      <c r="K15" s="3"/>
    </row>
    <row r="16" spans="1:11" x14ac:dyDescent="0.2">
      <c r="B16" s="2" t="str">
        <f>+'Balance histórico'!B17</f>
        <v>Inversiones financieras temporales</v>
      </c>
      <c r="C16" s="3"/>
      <c r="D16" s="3">
        <f>+C16</f>
        <v>0</v>
      </c>
      <c r="E16" s="3">
        <f>+D16</f>
        <v>0</v>
      </c>
      <c r="F16" s="3">
        <f>+E16</f>
        <v>0</v>
      </c>
      <c r="G16" s="3">
        <f>+F16</f>
        <v>0</v>
      </c>
      <c r="H16" s="3">
        <f>+G16</f>
        <v>0</v>
      </c>
      <c r="J16" s="3"/>
      <c r="K16" s="3"/>
    </row>
    <row r="17" spans="2:11" x14ac:dyDescent="0.2">
      <c r="B17" s="2" t="s">
        <v>43</v>
      </c>
      <c r="C17" s="3"/>
      <c r="D17" s="3">
        <f>+'Masas de balance'!D39</f>
        <v>31351.5</v>
      </c>
      <c r="E17" s="3">
        <f>+'Masas de balance'!E39</f>
        <v>0</v>
      </c>
      <c r="F17" s="3">
        <f>+'Masas de balance'!F39</f>
        <v>0</v>
      </c>
      <c r="G17" s="3">
        <f>+'Masas de balance'!G39</f>
        <v>0</v>
      </c>
      <c r="H17" s="3">
        <f>+'Masas de balance'!H39</f>
        <v>0</v>
      </c>
      <c r="J17" s="3"/>
      <c r="K17" s="3"/>
    </row>
    <row r="18" spans="2:11" x14ac:dyDescent="0.2">
      <c r="B18" s="2" t="str">
        <f>+'Balance histórico'!B18</f>
        <v>Tesorería</v>
      </c>
      <c r="C18" s="3"/>
      <c r="D18" s="3">
        <f>+'Cash Flow'!D61</f>
        <v>-188593.5150684932</v>
      </c>
      <c r="E18" s="3">
        <f>+'Cash Flow'!E61</f>
        <v>-334483.98741438356</v>
      </c>
      <c r="F18" s="3">
        <f>+'Cash Flow'!F61</f>
        <v>57688.646738979383</v>
      </c>
      <c r="G18" s="3">
        <f>+'Cash Flow'!G61</f>
        <v>91449.31569109892</v>
      </c>
      <c r="H18" s="3">
        <f>+'Cash Flow'!H61</f>
        <v>1516608.4819379812</v>
      </c>
      <c r="J18" s="3"/>
      <c r="K18" s="3"/>
    </row>
    <row r="19" spans="2:11" s="7" customFormat="1" x14ac:dyDescent="0.2">
      <c r="B19" s="7" t="s">
        <v>54</v>
      </c>
      <c r="C19" s="8"/>
      <c r="D19" s="8">
        <f>SUM(D14:D18)</f>
        <v>-143603.31643835621</v>
      </c>
      <c r="E19" s="8">
        <f>SUM(E14:E18)</f>
        <v>-306661.04220890411</v>
      </c>
      <c r="F19" s="8">
        <f>SUM(F14:F18)</f>
        <v>57688.646738979383</v>
      </c>
      <c r="G19" s="8">
        <f>SUM(G14:G18)</f>
        <v>180861.13240342771</v>
      </c>
      <c r="H19" s="8">
        <f>SUM(H14:H18)</f>
        <v>1629434.2730533786</v>
      </c>
      <c r="J19" s="8"/>
      <c r="K19" s="3"/>
    </row>
    <row r="20" spans="2:11" x14ac:dyDescent="0.2">
      <c r="C20" s="3"/>
      <c r="D20" s="3"/>
      <c r="E20" s="3"/>
      <c r="F20" s="3"/>
      <c r="G20" s="3"/>
      <c r="H20" s="3"/>
      <c r="J20" s="3"/>
    </row>
    <row r="21" spans="2:11" s="1" customFormat="1" x14ac:dyDescent="0.2">
      <c r="B21" s="1" t="s">
        <v>55</v>
      </c>
      <c r="C21" s="6"/>
      <c r="D21" s="6">
        <f>+D10+D12+D19</f>
        <v>-7669.4497716895421</v>
      </c>
      <c r="E21" s="6">
        <f>+E10+E12+E19</f>
        <v>-102680.09287557079</v>
      </c>
      <c r="F21" s="6">
        <f>+F10+F12+F19</f>
        <v>318033.93121897941</v>
      </c>
      <c r="G21" s="6">
        <f>+G10+G12+G19</f>
        <v>498444.0554178278</v>
      </c>
      <c r="H21" s="6">
        <f>+H10+H12+H19</f>
        <v>1993563.8037582105</v>
      </c>
      <c r="J21" s="6"/>
      <c r="K21" s="3"/>
    </row>
    <row r="22" spans="2:11" x14ac:dyDescent="0.2">
      <c r="C22" s="3"/>
      <c r="D22" s="3"/>
      <c r="E22" s="3"/>
      <c r="F22" s="3"/>
      <c r="G22" s="3"/>
      <c r="H22" s="3"/>
      <c r="J22" s="3"/>
    </row>
    <row r="23" spans="2:11" x14ac:dyDescent="0.2">
      <c r="C23" s="3"/>
      <c r="D23" s="3"/>
      <c r="E23" s="3"/>
      <c r="F23" s="3"/>
      <c r="G23" s="3"/>
      <c r="H23" s="3"/>
      <c r="J23" s="3"/>
    </row>
    <row r="25" spans="2:11" x14ac:dyDescent="0.2">
      <c r="B25" s="2" t="str">
        <f>+'Balance histórico'!B25</f>
        <v>Capital</v>
      </c>
      <c r="C25" s="3"/>
      <c r="D25" s="3">
        <f>+C25+'Cash Flow'!D55+'Cash Flow'!D56+'Cash Flow'!D32</f>
        <v>243000</v>
      </c>
      <c r="E25" s="3">
        <f>+D25+'Cash Flow'!E55+'Cash Flow'!E56</f>
        <v>243000</v>
      </c>
      <c r="F25" s="3">
        <f>+E25+'Cash Flow'!F55+'Cash Flow'!F56</f>
        <v>243000</v>
      </c>
      <c r="G25" s="3">
        <f>+F25+'Cash Flow'!G55+'Cash Flow'!G56</f>
        <v>243000</v>
      </c>
      <c r="H25" s="3">
        <f>+G25+'Cash Flow'!H55+'Cash Flow'!H56</f>
        <v>243000</v>
      </c>
      <c r="J25" s="3"/>
      <c r="K25" s="3"/>
    </row>
    <row r="26" spans="2:11" x14ac:dyDescent="0.2">
      <c r="B26" s="2" t="str">
        <f>+'Balance histórico'!B26</f>
        <v>Reservas</v>
      </c>
      <c r="C26" s="3"/>
      <c r="D26" s="3">
        <f>+C26</f>
        <v>0</v>
      </c>
      <c r="E26" s="3">
        <f>+D26</f>
        <v>0</v>
      </c>
      <c r="F26" s="3">
        <f>+E26</f>
        <v>0</v>
      </c>
      <c r="G26" s="3">
        <f>+F26</f>
        <v>0</v>
      </c>
      <c r="H26" s="3">
        <f>+G26</f>
        <v>0</v>
      </c>
      <c r="J26" s="3"/>
      <c r="K26" s="3"/>
    </row>
    <row r="27" spans="2:11" x14ac:dyDescent="0.2">
      <c r="B27" s="2" t="str">
        <f>+'Balance histórico'!B27</f>
        <v>Resultados ejercicios anteriores</v>
      </c>
      <c r="C27" s="3"/>
      <c r="D27" s="3">
        <f>+C27+C28</f>
        <v>0</v>
      </c>
      <c r="E27" s="3">
        <f>+D27+D28</f>
        <v>-277955.33333333337</v>
      </c>
      <c r="F27" s="3">
        <f>+E27+E28</f>
        <v>-385355.84066666663</v>
      </c>
      <c r="G27" s="3">
        <f>+F27+F28</f>
        <v>50684.410651000042</v>
      </c>
      <c r="H27" s="3">
        <f>+G27+G28</f>
        <v>219426.51759098016</v>
      </c>
      <c r="J27" s="3"/>
      <c r="K27" s="3"/>
    </row>
    <row r="28" spans="2:11" x14ac:dyDescent="0.2">
      <c r="B28" s="2" t="str">
        <f>+'Balance histórico'!B28</f>
        <v>Pérdidas y ganancias</v>
      </c>
      <c r="C28" s="3"/>
      <c r="D28" s="3">
        <f>+PyG!D38</f>
        <v>-277955.33333333337</v>
      </c>
      <c r="E28" s="3">
        <f>+PyG!E38</f>
        <v>-107400.50733333328</v>
      </c>
      <c r="F28" s="3">
        <f>+PyG!F38</f>
        <v>436040.25131766667</v>
      </c>
      <c r="G28" s="3">
        <f>+PyG!G38</f>
        <v>168742.10693998012</v>
      </c>
      <c r="H28" s="3">
        <f>+PyG!H38</f>
        <v>1356580.1199511699</v>
      </c>
      <c r="J28" s="3"/>
      <c r="K28" s="3"/>
    </row>
    <row r="29" spans="2:11" s="7" customFormat="1" x14ac:dyDescent="0.2">
      <c r="B29" s="7" t="s">
        <v>59</v>
      </c>
      <c r="C29" s="8"/>
      <c r="D29" s="8">
        <f>SUM(D25:D28)</f>
        <v>-34955.333333333372</v>
      </c>
      <c r="E29" s="8">
        <f>SUM(E25:E28)</f>
        <v>-142355.84066666666</v>
      </c>
      <c r="F29" s="8">
        <f>SUM(F25:F28)</f>
        <v>293684.41065100004</v>
      </c>
      <c r="G29" s="8">
        <f>SUM(G25:G28)</f>
        <v>462426.51759098016</v>
      </c>
      <c r="H29" s="8">
        <f>SUM(H25:H28)</f>
        <v>1819006.63754215</v>
      </c>
      <c r="J29" s="8"/>
      <c r="K29" s="3"/>
    </row>
    <row r="30" spans="2:11" x14ac:dyDescent="0.2">
      <c r="C30" s="3"/>
      <c r="D30" s="3"/>
      <c r="E30" s="3"/>
      <c r="F30" s="3"/>
      <c r="G30" s="3"/>
      <c r="H30" s="3"/>
      <c r="J30" s="3"/>
    </row>
    <row r="31" spans="2:11" s="7" customFormat="1" x14ac:dyDescent="0.2">
      <c r="B31" s="7" t="s">
        <v>60</v>
      </c>
      <c r="C31" s="8"/>
      <c r="D31" s="8">
        <f>+C31+'Cash Flow'!D35+'Cash Flow'!D36+'Cash Flow'!D39+'Cash Flow'!D40+'Cash Flow'!D43+'Cash Flow'!D44+'Cash Flow'!D47+'Cash Flow'!D48+'Cash Flow'!D51+'Cash Flow'!D52</f>
        <v>0</v>
      </c>
      <c r="E31" s="8">
        <f>+D31+'Cash Flow'!E35+'Cash Flow'!E36+'Cash Flow'!E39+'Cash Flow'!E40+'Cash Flow'!E43+'Cash Flow'!E44+'Cash Flow'!E47+'Cash Flow'!E48+'Cash Flow'!E51+'Cash Flow'!E52</f>
        <v>0</v>
      </c>
      <c r="F31" s="8">
        <f>+E31+'Cash Flow'!F35+'Cash Flow'!F36+'Cash Flow'!F39+'Cash Flow'!F40+'Cash Flow'!F43+'Cash Flow'!F44+'Cash Flow'!F47+'Cash Flow'!F48+'Cash Flow'!F51+'Cash Flow'!F52</f>
        <v>0</v>
      </c>
      <c r="G31" s="8">
        <f>+F31+'Cash Flow'!G35+'Cash Flow'!G36+'Cash Flow'!G39+'Cash Flow'!G40+'Cash Flow'!G43+'Cash Flow'!G44+'Cash Flow'!G47+'Cash Flow'!G48+'Cash Flow'!G51+'Cash Flow'!G52</f>
        <v>0</v>
      </c>
      <c r="H31" s="8">
        <f>+G31+'Cash Flow'!H35+'Cash Flow'!H36+'Cash Flow'!H39+'Cash Flow'!H40+'Cash Flow'!H43+'Cash Flow'!H44+'Cash Flow'!H47+'Cash Flow'!H48+'Cash Flow'!H51+'Cash Flow'!H52</f>
        <v>0</v>
      </c>
      <c r="J31" s="8"/>
    </row>
    <row r="32" spans="2:11" x14ac:dyDescent="0.2">
      <c r="C32" s="3"/>
      <c r="D32" s="3"/>
      <c r="E32" s="3"/>
      <c r="F32" s="3"/>
      <c r="G32" s="3"/>
      <c r="H32" s="3"/>
      <c r="J32" s="3"/>
    </row>
    <row r="33" spans="2:11" x14ac:dyDescent="0.2">
      <c r="B33" s="9" t="str">
        <f>+'Balance histórico'!B33</f>
        <v>Deuda a corto plazo</v>
      </c>
      <c r="C33" s="3"/>
      <c r="D33" s="3">
        <f>+C33</f>
        <v>0</v>
      </c>
      <c r="E33" s="3">
        <f>+D33</f>
        <v>0</v>
      </c>
      <c r="F33" s="3">
        <f>+E33</f>
        <v>0</v>
      </c>
      <c r="G33" s="3">
        <f>+F33</f>
        <v>0</v>
      </c>
      <c r="H33" s="3">
        <f>+G33</f>
        <v>0</v>
      </c>
      <c r="J33" s="3"/>
      <c r="K33" s="3"/>
    </row>
    <row r="34" spans="2:11" x14ac:dyDescent="0.2">
      <c r="B34" s="9" t="str">
        <f>+'Balance histórico'!B34</f>
        <v>Proveedores</v>
      </c>
      <c r="C34" s="3"/>
      <c r="D34" s="3">
        <f>+'Masas de balance'!D19</f>
        <v>7273.9726027397264</v>
      </c>
      <c r="E34" s="3">
        <f>+'Masas de balance'!E42</f>
        <v>14838.904109589041</v>
      </c>
      <c r="F34" s="3">
        <f>+'Masas de balance'!F42</f>
        <v>53494.24931506849</v>
      </c>
      <c r="G34" s="3">
        <f>+'Masas de balance'!G42</f>
        <v>0</v>
      </c>
      <c r="H34" s="3">
        <f>+'Masas de balance'!H42</f>
        <v>107453.13439561645</v>
      </c>
      <c r="J34" s="3"/>
      <c r="K34" s="3"/>
    </row>
    <row r="35" spans="2:11" x14ac:dyDescent="0.2">
      <c r="B35" s="9" t="str">
        <f>+'Balance histórico'!B35</f>
        <v>Acreedores por prestaciones de servicios</v>
      </c>
      <c r="C35" s="3"/>
      <c r="D35" s="3">
        <f>+'Masas de balance'!D23</f>
        <v>20011.910958904111</v>
      </c>
      <c r="E35" s="3">
        <f>+'Masas de balance'!E43</f>
        <v>22216.639931506848</v>
      </c>
      <c r="F35" s="3">
        <f>+'Masas de balance'!F43</f>
        <v>24281.362267808217</v>
      </c>
      <c r="G35" s="3">
        <f>+'Masas de balance'!G43</f>
        <v>26351.820993472604</v>
      </c>
      <c r="H35" s="3">
        <f>+'Masas de balance'!H43</f>
        <v>29155.689919720473</v>
      </c>
      <c r="J35" s="3"/>
      <c r="K35" s="3"/>
    </row>
    <row r="36" spans="2:11" x14ac:dyDescent="0.2">
      <c r="B36" s="9" t="str">
        <f>+'Balance histórico'!B36</f>
        <v>Remuneraciones pendientes</v>
      </c>
      <c r="C36" s="3"/>
      <c r="D36" s="3">
        <f>+'Masas de balance'!D44</f>
        <v>0</v>
      </c>
      <c r="E36" s="3">
        <f>+'Masas de balance'!E44</f>
        <v>0</v>
      </c>
      <c r="F36" s="3">
        <f>+'Masas de balance'!F44</f>
        <v>0</v>
      </c>
      <c r="G36" s="3">
        <f>+'Masas de balance'!G44</f>
        <v>0</v>
      </c>
      <c r="H36" s="3">
        <f>+'Masas de balance'!H44</f>
        <v>0</v>
      </c>
      <c r="J36" s="3"/>
      <c r="K36" s="3"/>
    </row>
    <row r="37" spans="2:11" x14ac:dyDescent="0.2">
      <c r="B37" s="9" t="str">
        <f>+'Balance histórico'!B37</f>
        <v>HP acreedora</v>
      </c>
      <c r="C37" s="3"/>
      <c r="D37" s="3">
        <f>+'Masas de balance'!D45</f>
        <v>0</v>
      </c>
      <c r="E37" s="3">
        <f>+'Masas de balance'!E45</f>
        <v>2620.2037499999992</v>
      </c>
      <c r="F37" s="3">
        <f>+'Masas de balance'!F45</f>
        <v>12773.042512499998</v>
      </c>
      <c r="G37" s="3">
        <f>+'Masas de balance'!G45</f>
        <v>9665.7168333750033</v>
      </c>
      <c r="H37" s="3">
        <f>+'Masas de balance'!H45</f>
        <v>37948.341900723761</v>
      </c>
      <c r="J37" s="3"/>
      <c r="K37" s="3"/>
    </row>
    <row r="38" spans="2:11" s="7" customFormat="1" x14ac:dyDescent="0.2">
      <c r="B38" s="7" t="s">
        <v>62</v>
      </c>
      <c r="C38" s="8"/>
      <c r="D38" s="8">
        <f>SUM(D33:D37)</f>
        <v>27285.883561643837</v>
      </c>
      <c r="E38" s="8">
        <f>SUM(E33:E37)</f>
        <v>39675.747791095891</v>
      </c>
      <c r="F38" s="8">
        <f>SUM(F33:F37)</f>
        <v>90548.654095376711</v>
      </c>
      <c r="G38" s="8">
        <f>SUM(G33:G37)</f>
        <v>36017.537826847605</v>
      </c>
      <c r="H38" s="8">
        <f>SUM(H33:H37)</f>
        <v>174557.16621606066</v>
      </c>
      <c r="J38" s="8"/>
      <c r="K38" s="3"/>
    </row>
    <row r="39" spans="2:11" x14ac:dyDescent="0.2">
      <c r="C39" s="3"/>
      <c r="D39" s="3"/>
      <c r="E39" s="3"/>
      <c r="F39" s="3"/>
      <c r="G39" s="3"/>
      <c r="H39" s="3"/>
      <c r="J39" s="3"/>
      <c r="K39" s="3"/>
    </row>
    <row r="40" spans="2:11" s="1" customFormat="1" x14ac:dyDescent="0.2">
      <c r="B40" s="1" t="s">
        <v>61</v>
      </c>
      <c r="C40" s="6"/>
      <c r="D40" s="6">
        <f>+D29+D31+D38</f>
        <v>-7669.4497716895348</v>
      </c>
      <c r="E40" s="6">
        <f>+E29+E31+E38</f>
        <v>-102680.09287557076</v>
      </c>
      <c r="F40" s="6">
        <f>+F29+F31+F38</f>
        <v>384233.06474637677</v>
      </c>
      <c r="G40" s="6">
        <f>+G29+G31+G38</f>
        <v>498444.0554178278</v>
      </c>
      <c r="H40" s="6">
        <f>+H29+H31+H38</f>
        <v>1993563.8037582107</v>
      </c>
      <c r="J40" s="6"/>
      <c r="K40" s="3"/>
    </row>
    <row r="41" spans="2:11" x14ac:dyDescent="0.2">
      <c r="C41" s="165"/>
      <c r="D41" s="165">
        <f>+D21-D40</f>
        <v>-7.2759576141834259E-12</v>
      </c>
      <c r="E41" s="165">
        <f>+E21-E40</f>
        <v>0</v>
      </c>
      <c r="F41" s="165">
        <f>+F21-F40</f>
        <v>-66199.133527397353</v>
      </c>
      <c r="G41" s="165">
        <f>+G21-G40</f>
        <v>0</v>
      </c>
      <c r="H41" s="165">
        <f>+H21-H40</f>
        <v>0</v>
      </c>
      <c r="I41" s="3"/>
      <c r="J41" s="3"/>
    </row>
    <row r="42" spans="2:11" x14ac:dyDescent="0.2">
      <c r="E42" s="3"/>
      <c r="F42" s="3"/>
      <c r="G42" s="3"/>
      <c r="H42" s="3"/>
    </row>
    <row r="48" spans="2:11" x14ac:dyDescent="0.2">
      <c r="C48" s="3"/>
      <c r="D48" s="3"/>
      <c r="E48" s="3"/>
      <c r="F48" s="3"/>
      <c r="G48" s="3"/>
      <c r="H48" s="3"/>
    </row>
  </sheetData>
  <phoneticPr fontId="0" type="noConversion"/>
  <printOptions horizontalCentered="1" verticalCentered="1"/>
  <pageMargins left="0.78740157480314965" right="0.78740157480314965" top="0.98425196850393704" bottom="0.98425196850393704" header="0" footer="0"/>
  <pageSetup paperSize="9" scale="9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workbookViewId="0">
      <selection activeCell="F15" sqref="F15"/>
    </sheetView>
  </sheetViews>
  <sheetFormatPr baseColWidth="10" defaultRowHeight="12.75" x14ac:dyDescent="0.2"/>
  <cols>
    <col min="1" max="1" width="1.85546875" style="2" customWidth="1"/>
    <col min="2" max="2" width="30.140625" style="2" bestFit="1" customWidth="1"/>
    <col min="3" max="3" width="12.42578125" style="2" customWidth="1"/>
    <col min="4" max="16384" width="11.42578125" style="2"/>
  </cols>
  <sheetData>
    <row r="1" spans="1:8" x14ac:dyDescent="0.2">
      <c r="A1" s="1" t="s">
        <v>24</v>
      </c>
    </row>
    <row r="2" spans="1:8" x14ac:dyDescent="0.2">
      <c r="A2" s="2" t="s">
        <v>104</v>
      </c>
    </row>
    <row r="4" spans="1:8" s="38" customFormat="1" x14ac:dyDescent="0.2">
      <c r="C4" s="38">
        <f>+Balance!C4</f>
        <v>0</v>
      </c>
      <c r="D4" s="38" t="str">
        <f>+Balance!D4</f>
        <v>Año 1</v>
      </c>
      <c r="E4" s="38" t="str">
        <f>+Balance!E4</f>
        <v>Año 2</v>
      </c>
      <c r="F4" s="38" t="str">
        <f>+Balance!F4</f>
        <v>Año 3</v>
      </c>
      <c r="G4" s="38" t="str">
        <f>+Balance!G4</f>
        <v>Año 4</v>
      </c>
      <c r="H4" s="38" t="str">
        <f>+Balance!H4</f>
        <v>Año 5</v>
      </c>
    </row>
    <row r="5" spans="1:8" s="1" customFormat="1" x14ac:dyDescent="0.2"/>
    <row r="6" spans="1:8" x14ac:dyDescent="0.2">
      <c r="B6" s="2" t="s">
        <v>1</v>
      </c>
      <c r="C6" s="3">
        <f>+'PyG histórico'!D5</f>
        <v>0</v>
      </c>
      <c r="D6" s="3">
        <f>+PyG!D5</f>
        <v>461500</v>
      </c>
      <c r="E6" s="3">
        <f>+PyG!E5</f>
        <v>941460</v>
      </c>
      <c r="F6" s="3">
        <f>+PyG!F5</f>
        <v>1903818.5249999999</v>
      </c>
      <c r="G6" s="3">
        <f>+PyG!G5</f>
        <v>1189594.3800000004</v>
      </c>
      <c r="H6" s="3">
        <f>+PyG!H5</f>
        <v>4239643.3497600006</v>
      </c>
    </row>
    <row r="7" spans="1:8" x14ac:dyDescent="0.2">
      <c r="B7" s="2" t="s">
        <v>63</v>
      </c>
      <c r="C7" s="3">
        <f>+'PyG histórico'!D41</f>
        <v>0</v>
      </c>
      <c r="D7" s="3">
        <f>+PyG!D34</f>
        <v>-277955.33333333337</v>
      </c>
      <c r="E7" s="3">
        <f>+PyG!E34</f>
        <v>-107400.50733333328</v>
      </c>
      <c r="F7" s="3">
        <f>+PyG!F34</f>
        <v>439226.09679666668</v>
      </c>
      <c r="G7" s="3">
        <f>+PyG!G34</f>
        <v>221968.02662740016</v>
      </c>
      <c r="H7" s="3">
        <f>+PyG!H34</f>
        <v>1918306.7100019224</v>
      </c>
    </row>
    <row r="8" spans="1:8" x14ac:dyDescent="0.2">
      <c r="B8" s="2" t="s">
        <v>68</v>
      </c>
      <c r="C8" s="3">
        <v>0</v>
      </c>
      <c r="D8" s="3">
        <f>+IF(C9&lt;0,C9,0)</f>
        <v>0</v>
      </c>
      <c r="E8" s="3">
        <f>+IF(D9&lt;0,D9,0)</f>
        <v>-277955.33333333337</v>
      </c>
      <c r="F8" s="3">
        <f>+IF(E9&lt;0,E9,0)</f>
        <v>-385355.84066666663</v>
      </c>
      <c r="G8" s="3">
        <f>+IF(F9&lt;0,F9,0)</f>
        <v>0</v>
      </c>
      <c r="H8" s="3">
        <f>+IF(G9&lt;0,G9,0)</f>
        <v>0</v>
      </c>
    </row>
    <row r="9" spans="1:8" x14ac:dyDescent="0.2">
      <c r="B9" s="2" t="s">
        <v>69</v>
      </c>
      <c r="C9" s="3">
        <f t="shared" ref="C9:H9" si="0">+C7+C8</f>
        <v>0</v>
      </c>
      <c r="D9" s="3">
        <f t="shared" si="0"/>
        <v>-277955.33333333337</v>
      </c>
      <c r="E9" s="3">
        <f t="shared" si="0"/>
        <v>-385355.84066666663</v>
      </c>
      <c r="F9" s="3">
        <f t="shared" si="0"/>
        <v>53870.256130000053</v>
      </c>
      <c r="G9" s="3">
        <f t="shared" si="0"/>
        <v>221968.02662740016</v>
      </c>
      <c r="H9" s="3">
        <f t="shared" si="0"/>
        <v>1918306.7100019224</v>
      </c>
    </row>
    <row r="10" spans="1:8" x14ac:dyDescent="0.2">
      <c r="B10" s="2" t="s">
        <v>216</v>
      </c>
      <c r="D10" s="3">
        <f>-$C$29*Costes!D68</f>
        <v>-40768</v>
      </c>
      <c r="E10" s="3">
        <f>-$C$29*Costes!E68</f>
        <v>-41991.040000000001</v>
      </c>
      <c r="F10" s="3">
        <f>-$C$29*Costes!F68</f>
        <v>-43250.771200000003</v>
      </c>
      <c r="G10" s="3">
        <f>-$C$29*Costes!G68</f>
        <v>-44548.294335999999</v>
      </c>
      <c r="H10" s="3">
        <f>-$C$29*Costes!H68</f>
        <v>-45884.743166080007</v>
      </c>
    </row>
    <row r="11" spans="1:8" x14ac:dyDescent="0.2">
      <c r="B11" s="2" t="s">
        <v>218</v>
      </c>
      <c r="C11" s="3">
        <f t="shared" ref="C11:H11" si="1">+C9+C10</f>
        <v>0</v>
      </c>
      <c r="D11" s="3">
        <f t="shared" si="1"/>
        <v>-318723.33333333337</v>
      </c>
      <c r="E11" s="3">
        <f t="shared" si="1"/>
        <v>-427346.88066666661</v>
      </c>
      <c r="F11" s="3">
        <f t="shared" si="1"/>
        <v>10619.48493000005</v>
      </c>
      <c r="G11" s="3">
        <f t="shared" si="1"/>
        <v>177419.73229140017</v>
      </c>
      <c r="H11" s="3">
        <f t="shared" si="1"/>
        <v>1872421.9668358425</v>
      </c>
    </row>
    <row r="12" spans="1:8" x14ac:dyDescent="0.2">
      <c r="C12" s="3"/>
      <c r="D12" s="3"/>
      <c r="E12" s="3"/>
      <c r="F12" s="3"/>
      <c r="G12" s="3"/>
      <c r="H12" s="3"/>
    </row>
    <row r="14" spans="1:8" x14ac:dyDescent="0.2">
      <c r="B14" s="2" t="s">
        <v>72</v>
      </c>
      <c r="C14" s="37">
        <f t="shared" ref="C14:H14" si="2">+IF(C9&lt;0,0%,IF(C6&lt;5000000,$C$27,$C$26))</f>
        <v>0.3</v>
      </c>
      <c r="D14" s="37">
        <f t="shared" si="2"/>
        <v>0</v>
      </c>
      <c r="E14" s="37">
        <f t="shared" si="2"/>
        <v>0</v>
      </c>
      <c r="F14" s="37">
        <f t="shared" si="2"/>
        <v>0.3</v>
      </c>
      <c r="G14" s="37">
        <f t="shared" si="2"/>
        <v>0.3</v>
      </c>
      <c r="H14" s="37">
        <f t="shared" si="2"/>
        <v>0.3</v>
      </c>
    </row>
    <row r="15" spans="1:8" x14ac:dyDescent="0.2">
      <c r="B15" s="2" t="s">
        <v>73</v>
      </c>
      <c r="C15" s="5">
        <v>90.152000000000001</v>
      </c>
      <c r="D15" s="5">
        <v>90.152000000000001</v>
      </c>
      <c r="E15" s="5">
        <v>90.152000000000001</v>
      </c>
      <c r="F15" s="5"/>
      <c r="G15" s="5">
        <v>90.152000000000001</v>
      </c>
      <c r="H15" s="5">
        <v>90.152000000000001</v>
      </c>
    </row>
    <row r="18" spans="2:8" x14ac:dyDescent="0.2">
      <c r="B18" s="2" t="s">
        <v>74</v>
      </c>
      <c r="C18" s="3">
        <f t="shared" ref="C18:H18" si="3">+IF(C11&lt;0,0,IF(C14=$C$26,C15*C14,IF(C11&lt;C15,C11*C14,C15*C14)))</f>
        <v>27.0456</v>
      </c>
      <c r="D18" s="3">
        <f t="shared" si="3"/>
        <v>0</v>
      </c>
      <c r="E18" s="3">
        <f t="shared" si="3"/>
        <v>0</v>
      </c>
      <c r="F18" s="3">
        <f t="shared" si="3"/>
        <v>0</v>
      </c>
      <c r="G18" s="3">
        <f t="shared" si="3"/>
        <v>27.0456</v>
      </c>
      <c r="H18" s="3">
        <f t="shared" si="3"/>
        <v>27.0456</v>
      </c>
    </row>
    <row r="19" spans="2:8" x14ac:dyDescent="0.2">
      <c r="B19" s="2" t="s">
        <v>75</v>
      </c>
      <c r="C19" s="3">
        <f t="shared" ref="C19:H19" si="4">+IF(C11&lt;0,0,IF(C11-C15&gt;0,(C11-C15)*$C$26,0))</f>
        <v>0</v>
      </c>
      <c r="D19" s="3">
        <f t="shared" si="4"/>
        <v>0</v>
      </c>
      <c r="E19" s="3">
        <f t="shared" si="4"/>
        <v>0</v>
      </c>
      <c r="F19" s="3">
        <f t="shared" si="4"/>
        <v>3185.8454790000146</v>
      </c>
      <c r="G19" s="3">
        <f t="shared" si="4"/>
        <v>53198.874087420052</v>
      </c>
      <c r="H19" s="3">
        <f t="shared" si="4"/>
        <v>561699.54445075267</v>
      </c>
    </row>
    <row r="20" spans="2:8" s="9" customFormat="1" x14ac:dyDescent="0.2">
      <c r="B20" s="9" t="s">
        <v>76</v>
      </c>
      <c r="C20" s="50">
        <f t="shared" ref="C20:H20" si="5">+C18+C19</f>
        <v>27.0456</v>
      </c>
      <c r="D20" s="50">
        <f t="shared" si="5"/>
        <v>0</v>
      </c>
      <c r="E20" s="50">
        <f t="shared" si="5"/>
        <v>0</v>
      </c>
      <c r="F20" s="50">
        <f t="shared" si="5"/>
        <v>3185.8454790000146</v>
      </c>
      <c r="G20" s="50">
        <f t="shared" si="5"/>
        <v>53225.91968742005</v>
      </c>
      <c r="H20" s="50">
        <f t="shared" si="5"/>
        <v>561726.59005075262</v>
      </c>
    </row>
    <row r="21" spans="2:8" s="1" customFormat="1" x14ac:dyDescent="0.2">
      <c r="B21" s="9" t="s">
        <v>239</v>
      </c>
      <c r="C21" s="6"/>
      <c r="D21" s="50">
        <f>+Balance!C9</f>
        <v>0</v>
      </c>
      <c r="E21" s="50">
        <f>+IF(D21-D23&gt;0,D21-D23,0)</f>
        <v>0</v>
      </c>
      <c r="F21" s="50">
        <f>+IF(E21-E23&gt;0,E21-E23,0)</f>
        <v>0</v>
      </c>
      <c r="G21" s="50">
        <f>+IF(F21-F23&gt;0,F21-F23,0)</f>
        <v>0</v>
      </c>
      <c r="H21" s="50">
        <f>+IF(G21-G23&gt;0,G21-G23,0)</f>
        <v>0</v>
      </c>
    </row>
    <row r="22" spans="2:8" s="1" customFormat="1" x14ac:dyDescent="0.2">
      <c r="B22" s="1" t="s">
        <v>240</v>
      </c>
      <c r="D22" s="6">
        <f>+IF(D20-D21&gt;0,D20-D21,0)</f>
        <v>0</v>
      </c>
      <c r="E22" s="6">
        <f>+IF(E20-E21&gt;0,E20-E21,0)</f>
        <v>0</v>
      </c>
      <c r="F22" s="6">
        <f>+IF(F20-F21&gt;0,F20-F21,0)</f>
        <v>3185.8454790000146</v>
      </c>
      <c r="G22" s="6">
        <f>+IF(G20-G21&gt;0,G20-G21,0)</f>
        <v>53225.91968742005</v>
      </c>
      <c r="H22" s="6">
        <f>+IF(H20-H21&gt;0,H20-H21,0)</f>
        <v>561726.59005075262</v>
      </c>
    </row>
    <row r="23" spans="2:8" s="1" customFormat="1" x14ac:dyDescent="0.2">
      <c r="B23" s="9" t="s">
        <v>241</v>
      </c>
      <c r="D23" s="3">
        <f>+IF(D20-D21&gt;0,D21,D20)</f>
        <v>0</v>
      </c>
      <c r="E23" s="3">
        <f>+IF(E20-E21&gt;0,E21,E20)</f>
        <v>0</v>
      </c>
      <c r="F23" s="3">
        <f>+IF(F20-F21&gt;0,F21,F20)</f>
        <v>0</v>
      </c>
      <c r="G23" s="3">
        <f>+IF(G20-G21&gt;0,G21,G20)</f>
        <v>0</v>
      </c>
      <c r="H23" s="3">
        <f>+IF(H20-H21&gt;0,H21,H20)</f>
        <v>0</v>
      </c>
    </row>
    <row r="26" spans="2:8" x14ac:dyDescent="0.2">
      <c r="B26" s="2" t="s">
        <v>70</v>
      </c>
      <c r="C26" s="56">
        <v>0.3</v>
      </c>
    </row>
    <row r="27" spans="2:8" x14ac:dyDescent="0.2">
      <c r="B27" s="2" t="s">
        <v>71</v>
      </c>
      <c r="C27" s="56">
        <v>0.3</v>
      </c>
    </row>
    <row r="29" spans="2:8" x14ac:dyDescent="0.2">
      <c r="B29" s="2" t="s">
        <v>217</v>
      </c>
      <c r="C29" s="56">
        <v>0.64</v>
      </c>
    </row>
  </sheetData>
  <phoneticPr fontId="0" type="noConversion"/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workbookViewId="0">
      <selection activeCell="F15" sqref="F15"/>
    </sheetView>
  </sheetViews>
  <sheetFormatPr baseColWidth="10" defaultRowHeight="12.75" x14ac:dyDescent="0.2"/>
  <cols>
    <col min="1" max="1" width="2" style="170" customWidth="1"/>
    <col min="2" max="2" width="16.5703125" style="170" bestFit="1" customWidth="1"/>
    <col min="3" max="3" width="20.28515625" style="170" customWidth="1"/>
    <col min="4" max="4" width="12.42578125" style="170" customWidth="1"/>
    <col min="5" max="5" width="8.140625" style="170" bestFit="1" customWidth="1"/>
    <col min="6" max="6" width="9.7109375" style="170" customWidth="1"/>
    <col min="7" max="8" width="9.7109375" style="170" bestFit="1" customWidth="1"/>
    <col min="9" max="9" width="11.42578125" style="170"/>
    <col min="10" max="10" width="9.7109375" style="170" bestFit="1" customWidth="1"/>
    <col min="11" max="16384" width="11.42578125" style="170"/>
  </cols>
  <sheetData>
    <row r="1" spans="1:15" x14ac:dyDescent="0.2">
      <c r="A1" s="169" t="s">
        <v>64</v>
      </c>
    </row>
    <row r="2" spans="1:15" x14ac:dyDescent="0.2">
      <c r="A2" s="170" t="s">
        <v>104</v>
      </c>
    </row>
    <row r="4" spans="1:15" x14ac:dyDescent="0.2">
      <c r="K4" s="168" t="s">
        <v>67</v>
      </c>
    </row>
    <row r="5" spans="1:15" s="171" customFormat="1" x14ac:dyDescent="0.2">
      <c r="B5" s="168" t="s">
        <v>231</v>
      </c>
      <c r="C5" s="168" t="s">
        <v>233</v>
      </c>
      <c r="D5" s="168" t="s">
        <v>232</v>
      </c>
      <c r="E5" s="168" t="s">
        <v>236</v>
      </c>
      <c r="F5" s="175">
        <v>2009</v>
      </c>
      <c r="G5" s="175">
        <v>2010</v>
      </c>
      <c r="H5" s="175">
        <v>2011</v>
      </c>
      <c r="I5" s="175">
        <v>2012</v>
      </c>
      <c r="J5" s="175">
        <v>2013</v>
      </c>
      <c r="K5" s="175">
        <f>+F5</f>
        <v>2009</v>
      </c>
      <c r="L5" s="175">
        <f>+G5</f>
        <v>2010</v>
      </c>
      <c r="M5" s="175">
        <f>+H5</f>
        <v>2011</v>
      </c>
      <c r="N5" s="175">
        <f>+I5</f>
        <v>2012</v>
      </c>
      <c r="O5" s="175">
        <f>+J5</f>
        <v>2013</v>
      </c>
    </row>
    <row r="6" spans="1:15" x14ac:dyDescent="0.2">
      <c r="B6" s="172"/>
      <c r="C6" s="177" t="s">
        <v>234</v>
      </c>
      <c r="D6" s="173"/>
      <c r="E6" s="173"/>
      <c r="F6" s="178" t="s">
        <v>238</v>
      </c>
      <c r="G6" s="178" t="s">
        <v>238</v>
      </c>
      <c r="H6" s="178" t="s">
        <v>238</v>
      </c>
      <c r="I6" s="178" t="s">
        <v>238</v>
      </c>
      <c r="J6" s="178" t="s">
        <v>238</v>
      </c>
    </row>
    <row r="7" spans="1:15" x14ac:dyDescent="0.2">
      <c r="B7" s="172"/>
      <c r="C7" s="177" t="s">
        <v>235</v>
      </c>
      <c r="D7" s="173"/>
      <c r="E7" s="179">
        <v>6.5000000000000002E-2</v>
      </c>
      <c r="F7" s="178" t="s">
        <v>237</v>
      </c>
      <c r="G7" s="178" t="s">
        <v>238</v>
      </c>
      <c r="H7" s="178" t="s">
        <v>238</v>
      </c>
      <c r="I7" s="178" t="s">
        <v>238</v>
      </c>
      <c r="J7" s="178" t="s">
        <v>238</v>
      </c>
      <c r="K7" s="170">
        <f>+IF(F7="Renovar",$D$7*$E$7,0)</f>
        <v>0</v>
      </c>
      <c r="L7" s="170">
        <f>+IF(G7="Renovar",$D$7*$E$7,0)</f>
        <v>0</v>
      </c>
      <c r="M7" s="170">
        <f>+IF(H7="Renovar",$D$7*$E$7,0)</f>
        <v>0</v>
      </c>
      <c r="N7" s="170">
        <f>+IF(I7="Renovar",$D$7*$E$7,0)</f>
        <v>0</v>
      </c>
      <c r="O7" s="170">
        <f>+IF(J7="Renovar",$D$7*$E$7,0)</f>
        <v>0</v>
      </c>
    </row>
    <row r="8" spans="1:15" x14ac:dyDescent="0.2">
      <c r="B8" s="172"/>
      <c r="C8" s="177" t="s">
        <v>235</v>
      </c>
      <c r="D8" s="173"/>
      <c r="E8" s="179">
        <v>0.06</v>
      </c>
      <c r="F8" s="178" t="s">
        <v>237</v>
      </c>
      <c r="G8" s="178" t="s">
        <v>237</v>
      </c>
      <c r="H8" s="178" t="s">
        <v>237</v>
      </c>
      <c r="I8" s="178" t="s">
        <v>238</v>
      </c>
      <c r="J8" s="178" t="s">
        <v>238</v>
      </c>
      <c r="K8" s="170">
        <f>+IF(F8="Renovar",$D$8*$E$8,0)</f>
        <v>0</v>
      </c>
      <c r="L8" s="170">
        <f>+IF(G8="Renovar",$D$8*$E$8,0)</f>
        <v>0</v>
      </c>
      <c r="M8" s="170">
        <f>+IF(H8="Renovar",$D$8*$E$8,0)</f>
        <v>0</v>
      </c>
      <c r="N8" s="170">
        <f>+IF(I8="Renovar",$D$8*$E$8,0)</f>
        <v>0</v>
      </c>
      <c r="O8" s="170">
        <f>+IF(J8="Renovar",$D$8*$E$8,0)</f>
        <v>0</v>
      </c>
    </row>
    <row r="9" spans="1:15" x14ac:dyDescent="0.2">
      <c r="B9" s="172"/>
      <c r="C9" s="177" t="s">
        <v>234</v>
      </c>
      <c r="D9" s="173"/>
      <c r="E9" s="173"/>
      <c r="F9" s="173"/>
      <c r="G9" s="173"/>
      <c r="H9" s="173"/>
    </row>
    <row r="10" spans="1:15" x14ac:dyDescent="0.2">
      <c r="D10" s="173">
        <f>SUM(D6:D9)</f>
        <v>0</v>
      </c>
      <c r="E10" s="173"/>
      <c r="F10" s="173"/>
      <c r="G10" s="173"/>
      <c r="H10" s="173"/>
      <c r="K10" s="170">
        <f>+K6+K7+K8+K9</f>
        <v>0</v>
      </c>
      <c r="L10" s="170">
        <f>+L6+L7+L8+L9</f>
        <v>0</v>
      </c>
      <c r="M10" s="170">
        <f>+M6+M7+M8+M9</f>
        <v>0</v>
      </c>
      <c r="N10" s="170">
        <f>+N6+N7+N8+N9</f>
        <v>0</v>
      </c>
      <c r="O10" s="170">
        <f>+O6+O7+O8+O9</f>
        <v>0</v>
      </c>
    </row>
    <row r="11" spans="1:15" x14ac:dyDescent="0.2">
      <c r="D11" s="173"/>
      <c r="E11" s="173"/>
      <c r="F11" s="173"/>
      <c r="G11" s="173"/>
      <c r="H11" s="173"/>
    </row>
    <row r="12" spans="1:15" x14ac:dyDescent="0.2">
      <c r="C12" s="173"/>
      <c r="D12" s="173"/>
      <c r="E12" s="173"/>
      <c r="F12" s="173"/>
      <c r="G12" s="173"/>
      <c r="H12" s="173"/>
    </row>
    <row r="13" spans="1:15" s="169" customFormat="1" x14ac:dyDescent="0.2">
      <c r="C13" s="174"/>
      <c r="D13" s="174"/>
      <c r="E13" s="174"/>
      <c r="F13" s="174"/>
      <c r="G13" s="174"/>
      <c r="H13" s="174"/>
    </row>
    <row r="14" spans="1:15" x14ac:dyDescent="0.2">
      <c r="C14" s="173"/>
      <c r="D14" s="173"/>
      <c r="E14" s="173"/>
      <c r="F14" s="173"/>
      <c r="G14" s="173"/>
      <c r="H14" s="173"/>
    </row>
    <row r="15" spans="1:15" x14ac:dyDescent="0.2">
      <c r="B15" s="175"/>
      <c r="C15" s="173"/>
      <c r="D15" s="173"/>
      <c r="E15" s="173"/>
      <c r="F15" s="173"/>
      <c r="G15" s="173"/>
      <c r="H15" s="173"/>
    </row>
    <row r="16" spans="1:15" x14ac:dyDescent="0.2">
      <c r="B16" s="176"/>
      <c r="C16" s="173"/>
      <c r="D16" s="173"/>
      <c r="E16" s="173"/>
      <c r="F16" s="173"/>
      <c r="G16" s="173"/>
      <c r="H16" s="173"/>
    </row>
    <row r="17" spans="3:8" x14ac:dyDescent="0.2">
      <c r="C17" s="173"/>
      <c r="D17" s="173"/>
      <c r="E17" s="173"/>
      <c r="F17" s="173"/>
      <c r="G17" s="173"/>
      <c r="H17" s="173"/>
    </row>
    <row r="18" spans="3:8" x14ac:dyDescent="0.2">
      <c r="C18" s="173"/>
      <c r="D18" s="173"/>
      <c r="E18" s="173"/>
      <c r="F18" s="173"/>
      <c r="G18" s="173"/>
      <c r="H18" s="173"/>
    </row>
  </sheetData>
  <phoneticPr fontId="0" type="noConversion"/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3:F77"/>
  <sheetViews>
    <sheetView tabSelected="1" zoomScale="70" zoomScaleNormal="70" workbookViewId="0">
      <selection activeCell="F15" sqref="F15"/>
    </sheetView>
  </sheetViews>
  <sheetFormatPr baseColWidth="10" defaultRowHeight="12.75" x14ac:dyDescent="0.2"/>
  <cols>
    <col min="1" max="1" width="13.85546875" style="2" bestFit="1" customWidth="1"/>
    <col min="2" max="16384" width="11.42578125" style="2"/>
  </cols>
  <sheetData>
    <row r="63" spans="1:6" x14ac:dyDescent="0.2">
      <c r="B63" s="2" t="str">
        <f>+Balance!D4</f>
        <v>Año 1</v>
      </c>
      <c r="C63" s="2" t="str">
        <f>+Balance!E4</f>
        <v>Año 2</v>
      </c>
      <c r="D63" s="2" t="str">
        <f>+Balance!F4</f>
        <v>Año 3</v>
      </c>
      <c r="E63" s="2" t="str">
        <f>+Balance!G4</f>
        <v>Año 4</v>
      </c>
      <c r="F63" s="2" t="str">
        <f>+Balance!H4</f>
        <v>Año 5</v>
      </c>
    </row>
    <row r="64" spans="1:6" x14ac:dyDescent="0.2">
      <c r="A64" s="2" t="s">
        <v>196</v>
      </c>
      <c r="B64" s="3">
        <f>+'Presupuestos de ventas'!C38</f>
        <v>461500</v>
      </c>
      <c r="C64" s="3">
        <f>+'Presupuestos de ventas'!D38</f>
        <v>941460</v>
      </c>
      <c r="D64" s="3">
        <f>+'Presupuestos de ventas'!E38</f>
        <v>1903818.5249999999</v>
      </c>
      <c r="E64" s="3">
        <f>+'Presupuestos de ventas'!F38</f>
        <v>1189594.3800000004</v>
      </c>
      <c r="F64" s="3">
        <f>+'Presupuestos de ventas'!G38</f>
        <v>4239643.3497600006</v>
      </c>
    </row>
    <row r="66" spans="1:6" x14ac:dyDescent="0.2">
      <c r="B66" s="2" t="str">
        <f>+B63</f>
        <v>Año 1</v>
      </c>
      <c r="C66" s="2" t="str">
        <f>+C63</f>
        <v>Año 2</v>
      </c>
      <c r="D66" s="2" t="str">
        <f>+D63</f>
        <v>Año 3</v>
      </c>
      <c r="E66" s="2" t="str">
        <f>+E63</f>
        <v>Año 4</v>
      </c>
      <c r="F66" s="2" t="str">
        <f>+F63</f>
        <v>Año 5</v>
      </c>
    </row>
    <row r="67" spans="1:6" x14ac:dyDescent="0.2">
      <c r="A67" s="2" t="s">
        <v>14</v>
      </c>
      <c r="B67" s="3">
        <f>+PyG!D20</f>
        <v>-234805.2</v>
      </c>
      <c r="C67" s="3">
        <f>+PyG!E20</f>
        <v>-40201.069999999949</v>
      </c>
      <c r="D67" s="3">
        <f>+PyG!F20</f>
        <v>538066.47725</v>
      </c>
      <c r="E67" s="3">
        <f>+PyG!G20</f>
        <v>344411.24516100017</v>
      </c>
      <c r="F67" s="3">
        <f>+PyG!H20</f>
        <v>2082997.3850915304</v>
      </c>
    </row>
    <row r="68" spans="1:6" x14ac:dyDescent="0.2">
      <c r="A68" s="2" t="s">
        <v>199</v>
      </c>
      <c r="B68" s="4"/>
      <c r="C68" s="4">
        <f>+PyG!E21</f>
        <v>-4.2700773267053245E-2</v>
      </c>
      <c r="D68" s="4">
        <f>+PyG!F21</f>
        <v>0.28262487741577158</v>
      </c>
      <c r="E68" s="4">
        <f>+PyG!G21</f>
        <v>0.28951989934670008</v>
      </c>
      <c r="F68" s="4">
        <f>+PyG!H21</f>
        <v>0.49131429538983401</v>
      </c>
    </row>
    <row r="70" spans="1:6" x14ac:dyDescent="0.2">
      <c r="B70" s="2" t="str">
        <f>+B66</f>
        <v>Año 1</v>
      </c>
      <c r="C70" s="2" t="str">
        <f>+C66</f>
        <v>Año 2</v>
      </c>
      <c r="D70" s="2" t="str">
        <f>+D66</f>
        <v>Año 3</v>
      </c>
      <c r="E70" s="2" t="str">
        <f>+E66</f>
        <v>Año 4</v>
      </c>
      <c r="F70" s="2" t="str">
        <f>+F66</f>
        <v>Año 5</v>
      </c>
    </row>
    <row r="71" spans="1:6" x14ac:dyDescent="0.2">
      <c r="A71" s="2" t="s">
        <v>197</v>
      </c>
      <c r="B71" s="3">
        <f>+PyG!D12</f>
        <v>336500</v>
      </c>
      <c r="C71" s="3">
        <f>+PyG!E12</f>
        <v>635460</v>
      </c>
      <c r="D71" s="3">
        <f>+PyG!F12</f>
        <v>1352253.5249999999</v>
      </c>
      <c r="E71" s="3">
        <f>+PyG!G12</f>
        <v>1189594.3800000004</v>
      </c>
      <c r="F71" s="3">
        <f>+PyG!H12</f>
        <v>3131722.6137600006</v>
      </c>
    </row>
    <row r="72" spans="1:6" x14ac:dyDescent="0.2">
      <c r="A72" s="2" t="s">
        <v>199</v>
      </c>
      <c r="B72" s="4"/>
      <c r="C72" s="4">
        <f>+PyG!E13</f>
        <v>0.67497291440953411</v>
      </c>
      <c r="D72" s="4">
        <f>+PyG!F13</f>
        <v>0.71028488652824717</v>
      </c>
      <c r="E72" s="4">
        <f>+PyG!G13</f>
        <v>0</v>
      </c>
      <c r="F72" s="4">
        <f>+PyG!H13</f>
        <v>0.73867595818815335</v>
      </c>
    </row>
    <row r="75" spans="1:6" x14ac:dyDescent="0.2">
      <c r="B75" s="2" t="str">
        <f>+B70</f>
        <v>Año 1</v>
      </c>
      <c r="C75" s="2" t="str">
        <f>+C70</f>
        <v>Año 2</v>
      </c>
      <c r="D75" s="2" t="str">
        <f>+D70</f>
        <v>Año 3</v>
      </c>
      <c r="E75" s="2" t="str">
        <f>+E70</f>
        <v>Año 4</v>
      </c>
      <c r="F75" s="2" t="str">
        <f>+F70</f>
        <v>Año 5</v>
      </c>
    </row>
    <row r="76" spans="1:6" x14ac:dyDescent="0.2">
      <c r="A76" s="2" t="s">
        <v>198</v>
      </c>
      <c r="B76" s="3">
        <f>+PyG!D16</f>
        <v>264714.2</v>
      </c>
      <c r="C76" s="3">
        <f>+PyG!E16</f>
        <v>350127.83999999997</v>
      </c>
      <c r="D76" s="3">
        <f>+PyG!F16</f>
        <v>468674.40585000004</v>
      </c>
      <c r="E76" s="3">
        <f>+PyG!G16</f>
        <v>479650.73413200007</v>
      </c>
      <c r="F76" s="3">
        <f>+PyG!H16</f>
        <v>658129.35773676005</v>
      </c>
    </row>
    <row r="77" spans="1:6" x14ac:dyDescent="0.2">
      <c r="A77" s="2" t="s">
        <v>200</v>
      </c>
      <c r="B77" s="3">
        <f>+PyG!D17</f>
        <v>412675</v>
      </c>
      <c r="C77" s="3">
        <f>+PyG!E17</f>
        <v>458139.75</v>
      </c>
      <c r="D77" s="3">
        <f>+PyG!F17</f>
        <v>500717.35749999998</v>
      </c>
      <c r="E77" s="3">
        <f>+PyG!G17</f>
        <v>543413.25777500006</v>
      </c>
      <c r="F77" s="3">
        <f>+PyG!H17</f>
        <v>601233.15371174994</v>
      </c>
    </row>
  </sheetData>
  <phoneticPr fontId="12" type="noConversion"/>
  <printOptions horizontalCentered="1" verticalCentered="1"/>
  <pageMargins left="0.78740157480314965" right="0.78740157480314965" top="0.98425196850393704" bottom="0.98425196850393704" header="0" footer="0"/>
  <pageSetup paperSize="9" scale="47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tabSelected="1" zoomScale="75" workbookViewId="0">
      <selection activeCell="F15" sqref="F15"/>
    </sheetView>
  </sheetViews>
  <sheetFormatPr baseColWidth="10" defaultRowHeight="12.75" x14ac:dyDescent="0.2"/>
  <cols>
    <col min="1" max="1" width="2.42578125" style="78" customWidth="1"/>
    <col min="2" max="2" width="26.5703125" style="78" bestFit="1" customWidth="1"/>
    <col min="3" max="3" width="11.42578125" style="106" bestFit="1"/>
    <col min="4" max="4" width="9.85546875" style="95" customWidth="1"/>
    <col min="5" max="5" width="13.140625" style="106" bestFit="1" customWidth="1"/>
    <col min="6" max="6" width="9.85546875" style="95" customWidth="1"/>
    <col min="7" max="7" width="11.7109375" style="106" bestFit="1" customWidth="1"/>
    <col min="8" max="8" width="9.85546875" style="95" customWidth="1"/>
    <col min="9" max="9" width="12" style="106" bestFit="1" customWidth="1"/>
    <col min="10" max="10" width="9.85546875" style="95" customWidth="1"/>
    <col min="11" max="11" width="12.28515625" style="106" bestFit="1" customWidth="1"/>
    <col min="12" max="12" width="9.85546875" style="95" customWidth="1"/>
    <col min="13" max="13" width="12.7109375" style="106" bestFit="1" customWidth="1"/>
    <col min="14" max="14" width="9.85546875" style="96" customWidth="1"/>
    <col min="15" max="16384" width="11.42578125" style="78"/>
  </cols>
  <sheetData>
    <row r="3" spans="1:14" s="73" customFormat="1" x14ac:dyDescent="0.2">
      <c r="A3" s="70" t="s">
        <v>9</v>
      </c>
      <c r="B3" s="70"/>
      <c r="C3" s="71"/>
      <c r="D3" s="72"/>
      <c r="E3" s="71" t="s">
        <v>257</v>
      </c>
      <c r="F3" s="72" t="s">
        <v>157</v>
      </c>
      <c r="G3" s="71" t="s">
        <v>258</v>
      </c>
      <c r="H3" s="72" t="s">
        <v>157</v>
      </c>
      <c r="I3" s="71" t="s">
        <v>259</v>
      </c>
      <c r="J3" s="72" t="s">
        <v>157</v>
      </c>
      <c r="K3" s="71" t="s">
        <v>260</v>
      </c>
      <c r="L3" s="72" t="s">
        <v>157</v>
      </c>
      <c r="M3" s="71" t="s">
        <v>261</v>
      </c>
      <c r="N3" s="72" t="s">
        <v>157</v>
      </c>
    </row>
    <row r="4" spans="1:14" x14ac:dyDescent="0.2">
      <c r="A4" s="74"/>
      <c r="B4" s="74"/>
      <c r="C4" s="75"/>
      <c r="D4" s="76"/>
      <c r="E4" s="75"/>
      <c r="F4" s="76"/>
      <c r="G4" s="75"/>
      <c r="H4" s="76"/>
      <c r="I4" s="75"/>
      <c r="J4" s="76"/>
      <c r="K4" s="75"/>
      <c r="L4" s="76"/>
      <c r="M4" s="75"/>
      <c r="N4" s="77"/>
    </row>
    <row r="5" spans="1:14" x14ac:dyDescent="0.2">
      <c r="A5" s="74"/>
      <c r="B5" s="74" t="s">
        <v>158</v>
      </c>
      <c r="C5" s="79"/>
      <c r="D5" s="76"/>
      <c r="E5" s="79">
        <f>+PyG!D5</f>
        <v>461500</v>
      </c>
      <c r="F5" s="76">
        <f>+E5/$E$8</f>
        <v>0.77879254249186614</v>
      </c>
      <c r="G5" s="79">
        <f>+PyG!E5</f>
        <v>941460</v>
      </c>
      <c r="H5" s="76">
        <f>+G5/$G$8</f>
        <v>0.87653788891958018</v>
      </c>
      <c r="I5" s="79">
        <f>+PyG!F5</f>
        <v>1903818.5249999999</v>
      </c>
      <c r="J5" s="76">
        <f>+I5/$I$8</f>
        <v>0.92462216426718269</v>
      </c>
      <c r="K5" s="79">
        <f>+PyG!G5</f>
        <v>1189594.3800000004</v>
      </c>
      <c r="L5" s="76">
        <f>+K5/$K$8</f>
        <v>0.86992023530210771</v>
      </c>
      <c r="M5" s="79">
        <f>+PyG!H5</f>
        <v>4239643.3497600006</v>
      </c>
      <c r="N5" s="77">
        <f>+M5/$M$8</f>
        <v>0.95266876402358092</v>
      </c>
    </row>
    <row r="6" spans="1:14" x14ac:dyDescent="0.2">
      <c r="A6" s="74"/>
      <c r="B6" s="74" t="s">
        <v>213</v>
      </c>
      <c r="C6" s="79"/>
      <c r="D6" s="76"/>
      <c r="E6" s="79">
        <f>+PyG!D6</f>
        <v>106084</v>
      </c>
      <c r="F6" s="76">
        <f>+E6/$E$8</f>
        <v>0.17901934578051382</v>
      </c>
      <c r="G6" s="79">
        <f>+PyG!E6</f>
        <v>132606.51999999999</v>
      </c>
      <c r="H6" s="76">
        <f>+G6/$G$8</f>
        <v>0.12346211108041985</v>
      </c>
      <c r="I6" s="79">
        <f>+PyG!F6</f>
        <v>155204.71560000003</v>
      </c>
      <c r="J6" s="76">
        <f>+I6/$I$8</f>
        <v>7.5377835732817339E-2</v>
      </c>
      <c r="K6" s="79">
        <f>+PyG!G6</f>
        <v>177880.85706800001</v>
      </c>
      <c r="L6" s="76">
        <f>+K6/$K$8</f>
        <v>0.13007976469789234</v>
      </c>
      <c r="M6" s="79">
        <f>+PyG!H6</f>
        <v>210637.28278004</v>
      </c>
      <c r="N6" s="77">
        <f>+M6/$M$8</f>
        <v>4.7331235976419028E-2</v>
      </c>
    </row>
    <row r="7" spans="1:14" x14ac:dyDescent="0.2">
      <c r="A7" s="74"/>
      <c r="B7" s="74" t="s">
        <v>214</v>
      </c>
      <c r="C7" s="79"/>
      <c r="D7" s="76"/>
      <c r="E7" s="79">
        <f>+PyG!D7</f>
        <v>25000</v>
      </c>
      <c r="F7" s="76">
        <f>+E7/$E$8</f>
        <v>4.2188111727620048E-2</v>
      </c>
      <c r="G7" s="79">
        <f>+PyG!E7</f>
        <v>0</v>
      </c>
      <c r="H7" s="76">
        <f>+G7/$G$8</f>
        <v>0</v>
      </c>
      <c r="I7" s="79">
        <f>+PyG!F7</f>
        <v>0</v>
      </c>
      <c r="J7" s="76">
        <f>+I7/$I$8</f>
        <v>0</v>
      </c>
      <c r="K7" s="79">
        <f>+PyG!G7</f>
        <v>0</v>
      </c>
      <c r="L7" s="76">
        <f>+K7/$K$8</f>
        <v>0</v>
      </c>
      <c r="M7" s="79">
        <f>+PyG!H7</f>
        <v>0</v>
      </c>
      <c r="N7" s="77">
        <f>+M7/$M$8</f>
        <v>0</v>
      </c>
    </row>
    <row r="8" spans="1:14" s="89" customFormat="1" x14ac:dyDescent="0.2">
      <c r="A8" s="85"/>
      <c r="B8" s="85" t="s">
        <v>10</v>
      </c>
      <c r="C8" s="86"/>
      <c r="D8" s="87"/>
      <c r="E8" s="86">
        <f>+E5+E6+E7</f>
        <v>592584</v>
      </c>
      <c r="F8" s="87">
        <f>+E8/$E$8</f>
        <v>1</v>
      </c>
      <c r="G8" s="86">
        <f>+G5+G6+G7</f>
        <v>1074066.52</v>
      </c>
      <c r="H8" s="87">
        <f>+G8/$G$8</f>
        <v>1</v>
      </c>
      <c r="I8" s="86">
        <f>+I5+I6+I7</f>
        <v>2059023.2405999999</v>
      </c>
      <c r="J8" s="87">
        <f>+I8/$I$8</f>
        <v>1</v>
      </c>
      <c r="K8" s="86">
        <f>+K5+K6+K7</f>
        <v>1367475.2370680002</v>
      </c>
      <c r="L8" s="87">
        <f>+K8/$K$8</f>
        <v>1</v>
      </c>
      <c r="M8" s="86">
        <f>+M5+M6+M7</f>
        <v>4450280.6325400406</v>
      </c>
      <c r="N8" s="88">
        <f>+M8/$M$8</f>
        <v>1</v>
      </c>
    </row>
    <row r="9" spans="1:14" x14ac:dyDescent="0.2">
      <c r="A9" s="74"/>
      <c r="B9" s="74"/>
      <c r="C9" s="79"/>
      <c r="D9" s="76"/>
      <c r="E9" s="79"/>
      <c r="F9" s="76"/>
      <c r="G9" s="79"/>
      <c r="H9" s="76"/>
      <c r="I9" s="79"/>
      <c r="J9" s="76"/>
      <c r="K9" s="79"/>
      <c r="L9" s="76"/>
      <c r="M9" s="79"/>
      <c r="N9" s="77"/>
    </row>
    <row r="10" spans="1:14" s="84" customFormat="1" x14ac:dyDescent="0.2">
      <c r="A10" s="80" t="s">
        <v>159</v>
      </c>
      <c r="B10" s="80"/>
      <c r="C10" s="81"/>
      <c r="D10" s="82"/>
      <c r="E10" s="81">
        <f>+PyG!D12</f>
        <v>336500</v>
      </c>
      <c r="F10" s="82">
        <f>+E10/$E$5</f>
        <v>0.72914409534127844</v>
      </c>
      <c r="G10" s="81">
        <f>+PyG!E12</f>
        <v>635460</v>
      </c>
      <c r="H10" s="82">
        <f>+G10/$G$5</f>
        <v>0.67497291440953411</v>
      </c>
      <c r="I10" s="81">
        <f>+PyG!F12</f>
        <v>1352253.5249999999</v>
      </c>
      <c r="J10" s="82">
        <f>+I10/$I$5</f>
        <v>0.71028488652824717</v>
      </c>
      <c r="K10" s="81">
        <f>+PyG!G12</f>
        <v>1189594.3800000004</v>
      </c>
      <c r="L10" s="82">
        <f>+K10/$K$5</f>
        <v>1</v>
      </c>
      <c r="M10" s="81">
        <f>+PyG!H12</f>
        <v>3131722.6137600006</v>
      </c>
      <c r="N10" s="83">
        <f>+M10/$M$5</f>
        <v>0.73867595818815335</v>
      </c>
    </row>
    <row r="11" spans="1:14" x14ac:dyDescent="0.2">
      <c r="A11" s="74"/>
      <c r="B11" s="74"/>
      <c r="C11" s="79"/>
      <c r="D11" s="76"/>
      <c r="E11" s="79"/>
      <c r="F11" s="76"/>
      <c r="G11" s="79"/>
      <c r="H11" s="76"/>
      <c r="I11" s="79"/>
      <c r="J11" s="76"/>
      <c r="K11" s="79"/>
      <c r="L11" s="76"/>
      <c r="M11" s="79"/>
      <c r="N11" s="77"/>
    </row>
    <row r="12" spans="1:14" x14ac:dyDescent="0.2">
      <c r="A12" s="74"/>
      <c r="B12" s="74" t="s">
        <v>160</v>
      </c>
      <c r="C12" s="79"/>
      <c r="D12" s="76"/>
      <c r="E12" s="79">
        <f>+PyG!D16</f>
        <v>264714.2</v>
      </c>
      <c r="F12" s="76">
        <f>+E12/$E$8</f>
        <v>0.44671168981950238</v>
      </c>
      <c r="G12" s="79">
        <f>+PyG!E16</f>
        <v>350127.83999999997</v>
      </c>
      <c r="H12" s="76">
        <f>+G12/$G$5</f>
        <v>0.37189879548785926</v>
      </c>
      <c r="I12" s="79">
        <f>+PyG!F16</f>
        <v>468674.40585000004</v>
      </c>
      <c r="J12" s="76">
        <f>+I12/$I$5</f>
        <v>0.24617598772971289</v>
      </c>
      <c r="K12" s="79">
        <f>+PyG!G16</f>
        <v>479650.73413200007</v>
      </c>
      <c r="L12" s="76">
        <f>+K12/$K$5</f>
        <v>0.40320527920785904</v>
      </c>
      <c r="M12" s="79">
        <f>+PyG!H16</f>
        <v>658129.35773676005</v>
      </c>
      <c r="N12" s="77">
        <f>+M12/$M$5</f>
        <v>0.15523224560245513</v>
      </c>
    </row>
    <row r="13" spans="1:14" x14ac:dyDescent="0.2">
      <c r="A13" s="74"/>
      <c r="B13" s="74" t="s">
        <v>161</v>
      </c>
      <c r="C13" s="79"/>
      <c r="D13" s="76"/>
      <c r="E13" s="79">
        <f>+PyG!D17</f>
        <v>412675</v>
      </c>
      <c r="F13" s="76">
        <f>+E13/$E$8</f>
        <v>0.69639916028782423</v>
      </c>
      <c r="G13" s="79">
        <f>+PyG!E17</f>
        <v>458139.75</v>
      </c>
      <c r="H13" s="76">
        <f>+G13/$G$5</f>
        <v>0.4866268880249825</v>
      </c>
      <c r="I13" s="79">
        <f>+PyG!F17</f>
        <v>500717.35749999998</v>
      </c>
      <c r="J13" s="76">
        <f>+I13/$I$5</f>
        <v>0.26300687325227073</v>
      </c>
      <c r="K13" s="79">
        <f>+PyG!G17</f>
        <v>543413.25777500006</v>
      </c>
      <c r="L13" s="76">
        <f>+K13/$K$5</f>
        <v>0.45680550186778784</v>
      </c>
      <c r="M13" s="79">
        <f>+PyG!H17</f>
        <v>601233.15371174994</v>
      </c>
      <c r="N13" s="77">
        <f>+M13/$M$5</f>
        <v>0.14181220072338982</v>
      </c>
    </row>
    <row r="14" spans="1:14" s="89" customFormat="1" x14ac:dyDescent="0.2">
      <c r="A14" s="85"/>
      <c r="B14" s="85" t="s">
        <v>162</v>
      </c>
      <c r="C14" s="86"/>
      <c r="D14" s="87"/>
      <c r="E14" s="86">
        <f>SUM(E12:E13)</f>
        <v>677389.2</v>
      </c>
      <c r="F14" s="87">
        <f>+E14/$E$8</f>
        <v>1.1431108501073264</v>
      </c>
      <c r="G14" s="86">
        <f>SUM(G12:G13)</f>
        <v>808267.59</v>
      </c>
      <c r="H14" s="87">
        <f>+G14/$G$5</f>
        <v>0.85852568351284175</v>
      </c>
      <c r="I14" s="86">
        <f>SUM(I12:I13)</f>
        <v>969391.76335000002</v>
      </c>
      <c r="J14" s="87">
        <f>+I14/$I$5</f>
        <v>0.50918286098198362</v>
      </c>
      <c r="K14" s="86">
        <f>SUM(K12:K13)</f>
        <v>1023063.9919070001</v>
      </c>
      <c r="L14" s="87">
        <f>+K14/$K$5</f>
        <v>0.86001078107564677</v>
      </c>
      <c r="M14" s="86">
        <f>SUM(M12:M13)</f>
        <v>1259362.51144851</v>
      </c>
      <c r="N14" s="88">
        <f>+M14/$M$5</f>
        <v>0.29704444632584492</v>
      </c>
    </row>
    <row r="15" spans="1:14" x14ac:dyDescent="0.2">
      <c r="A15" s="74"/>
      <c r="B15" s="74"/>
      <c r="C15" s="79"/>
      <c r="D15" s="76"/>
      <c r="E15" s="79"/>
      <c r="F15" s="76"/>
      <c r="G15" s="79"/>
      <c r="H15" s="76"/>
      <c r="I15" s="79"/>
      <c r="J15" s="76"/>
      <c r="K15" s="79"/>
      <c r="L15" s="76"/>
      <c r="M15" s="79"/>
      <c r="N15" s="77"/>
    </row>
    <row r="16" spans="1:14" s="84" customFormat="1" x14ac:dyDescent="0.2">
      <c r="A16" s="80" t="s">
        <v>14</v>
      </c>
      <c r="B16" s="80"/>
      <c r="C16" s="81"/>
      <c r="D16" s="82"/>
      <c r="E16" s="81">
        <f>+PyG!D20</f>
        <v>-234805.2</v>
      </c>
      <c r="F16" s="82">
        <f>+E16/$E$5</f>
        <v>-0.50878699891657642</v>
      </c>
      <c r="G16" s="81">
        <f>+PyG!E20</f>
        <v>-40201.069999999949</v>
      </c>
      <c r="H16" s="82">
        <f>+G16/$G$5</f>
        <v>-4.2700773267053245E-2</v>
      </c>
      <c r="I16" s="81">
        <f>+PyG!F20</f>
        <v>538066.47725</v>
      </c>
      <c r="J16" s="82">
        <f>+I16/$I$5</f>
        <v>0.28262487741577158</v>
      </c>
      <c r="K16" s="81">
        <f>+PyG!G20</f>
        <v>344411.24516100017</v>
      </c>
      <c r="L16" s="82">
        <f>+K16/$K$5</f>
        <v>0.28951989934670008</v>
      </c>
      <c r="M16" s="81">
        <f>+PyG!H20</f>
        <v>2082997.3850915304</v>
      </c>
      <c r="N16" s="83">
        <f>+M16/$M$5</f>
        <v>0.49131429538983401</v>
      </c>
    </row>
    <row r="17" spans="1:14" x14ac:dyDescent="0.2">
      <c r="A17" s="74"/>
      <c r="B17" s="74"/>
      <c r="C17" s="79"/>
      <c r="D17" s="76"/>
      <c r="E17" s="79"/>
      <c r="F17" s="76"/>
      <c r="G17" s="79"/>
      <c r="H17" s="76"/>
      <c r="I17" s="79"/>
      <c r="J17" s="76"/>
      <c r="K17" s="79"/>
      <c r="L17" s="76"/>
      <c r="M17" s="79"/>
      <c r="N17" s="77"/>
    </row>
    <row r="18" spans="1:14" x14ac:dyDescent="0.2">
      <c r="A18" s="74"/>
      <c r="B18" s="74" t="s">
        <v>65</v>
      </c>
      <c r="C18" s="79"/>
      <c r="D18" s="76"/>
      <c r="E18" s="79">
        <f>+PyG!D24</f>
        <v>43150.133333333331</v>
      </c>
      <c r="F18" s="87">
        <f>+E18/$E$8</f>
        <v>7.2816905845134755E-2</v>
      </c>
      <c r="G18" s="79">
        <f>+PyG!E24</f>
        <v>67199.437333333335</v>
      </c>
      <c r="H18" s="76">
        <f>+G18/$G$5</f>
        <v>7.1377899574419881E-2</v>
      </c>
      <c r="I18" s="79">
        <f>+PyG!F24</f>
        <v>98840.380453333331</v>
      </c>
      <c r="J18" s="76">
        <f>+I18/$I$5</f>
        <v>5.1916912854565976E-2</v>
      </c>
      <c r="K18" s="79">
        <f>+PyG!G24</f>
        <v>122443.21853360001</v>
      </c>
      <c r="L18" s="76">
        <f>+K18/$K$5</f>
        <v>0.10292854488233205</v>
      </c>
      <c r="M18" s="79">
        <f>+PyG!H24</f>
        <v>164690.675089608</v>
      </c>
      <c r="N18" s="77">
        <f>+M18/$M$5</f>
        <v>3.8845407856991289E-2</v>
      </c>
    </row>
    <row r="19" spans="1:14" x14ac:dyDescent="0.2">
      <c r="A19" s="74"/>
      <c r="B19" s="74"/>
      <c r="C19" s="79"/>
      <c r="D19" s="76"/>
      <c r="E19" s="79"/>
      <c r="F19" s="76"/>
      <c r="G19" s="79"/>
      <c r="H19" s="76"/>
      <c r="I19" s="79"/>
      <c r="J19" s="76"/>
      <c r="K19" s="79"/>
      <c r="L19" s="76"/>
      <c r="M19" s="79"/>
      <c r="N19" s="77"/>
    </row>
    <row r="20" spans="1:14" s="84" customFormat="1" x14ac:dyDescent="0.2">
      <c r="A20" s="90" t="s">
        <v>21</v>
      </c>
      <c r="B20" s="90"/>
      <c r="C20" s="91"/>
      <c r="D20" s="92"/>
      <c r="E20" s="91">
        <f t="shared" ref="E20:K20" si="0">+E16-E18</f>
        <v>-277955.33333333337</v>
      </c>
      <c r="F20" s="92">
        <f>+E20/$E$8</f>
        <v>-0.46905642631818167</v>
      </c>
      <c r="G20" s="91">
        <f t="shared" si="0"/>
        <v>-107400.50733333328</v>
      </c>
      <c r="H20" s="92">
        <f>+G20/$G$5</f>
        <v>-0.11407867284147312</v>
      </c>
      <c r="I20" s="91">
        <f t="shared" si="0"/>
        <v>439226.09679666668</v>
      </c>
      <c r="J20" s="92">
        <f>+I20/$I$5</f>
        <v>0.2307079645612056</v>
      </c>
      <c r="K20" s="91">
        <f t="shared" si="0"/>
        <v>221968.02662740016</v>
      </c>
      <c r="L20" s="92">
        <f>+K20/$K$5</f>
        <v>0.186591354464368</v>
      </c>
      <c r="M20" s="91">
        <f>+M16-M18</f>
        <v>1918306.7100019224</v>
      </c>
      <c r="N20" s="93">
        <f>+M20/$M$5</f>
        <v>0.45246888753284276</v>
      </c>
    </row>
    <row r="21" spans="1:14" x14ac:dyDescent="0.2">
      <c r="C21" s="94"/>
      <c r="E21" s="94"/>
      <c r="G21" s="94"/>
      <c r="I21" s="94"/>
      <c r="K21" s="94"/>
      <c r="M21" s="94"/>
    </row>
    <row r="22" spans="1:14" s="73" customFormat="1" x14ac:dyDescent="0.2">
      <c r="A22" s="70" t="s">
        <v>163</v>
      </c>
      <c r="B22" s="70"/>
      <c r="C22" s="71"/>
      <c r="D22" s="72"/>
      <c r="E22" s="71" t="str">
        <f t="shared" ref="E22:K22" si="1">+E3</f>
        <v>Año 1</v>
      </c>
      <c r="F22" s="72" t="s">
        <v>157</v>
      </c>
      <c r="G22" s="71" t="str">
        <f t="shared" si="1"/>
        <v>Año 2</v>
      </c>
      <c r="H22" s="72" t="s">
        <v>157</v>
      </c>
      <c r="I22" s="71" t="str">
        <f t="shared" si="1"/>
        <v>Año 3</v>
      </c>
      <c r="J22" s="72" t="s">
        <v>157</v>
      </c>
      <c r="K22" s="71" t="str">
        <f t="shared" si="1"/>
        <v>Año 4</v>
      </c>
      <c r="L22" s="72" t="s">
        <v>157</v>
      </c>
      <c r="M22" s="71" t="str">
        <f>+M3</f>
        <v>Año 5</v>
      </c>
      <c r="N22" s="72" t="str">
        <f>+N3</f>
        <v>%</v>
      </c>
    </row>
    <row r="23" spans="1:14" x14ac:dyDescent="0.2">
      <c r="A23" s="74"/>
      <c r="B23" s="74"/>
      <c r="C23" s="79"/>
      <c r="D23" s="76"/>
      <c r="E23" s="79"/>
      <c r="F23" s="76"/>
      <c r="G23" s="79"/>
      <c r="H23" s="76"/>
      <c r="I23" s="79"/>
      <c r="J23" s="76"/>
      <c r="K23" s="79"/>
      <c r="L23" s="76"/>
      <c r="M23" s="79"/>
      <c r="N23" s="77"/>
    </row>
    <row r="24" spans="1:14" s="101" customFormat="1" x14ac:dyDescent="0.2">
      <c r="A24" s="97"/>
      <c r="B24" s="97" t="s">
        <v>164</v>
      </c>
      <c r="C24" s="98"/>
      <c r="D24" s="99"/>
      <c r="E24" s="98">
        <f>+Balance!D10</f>
        <v>135933.86666666667</v>
      </c>
      <c r="F24" s="99">
        <f>+E24/$E$27</f>
        <v>-17.724070267523391</v>
      </c>
      <c r="G24" s="98">
        <f>+Balance!E10</f>
        <v>203980.94933333332</v>
      </c>
      <c r="H24" s="99">
        <f>+G24/$G$27</f>
        <v>-1.9865676356615725</v>
      </c>
      <c r="I24" s="98">
        <f>+Balance!F10</f>
        <v>260345.28448000003</v>
      </c>
      <c r="J24" s="99">
        <f>+I24/$I$27</f>
        <v>0.81860851602259266</v>
      </c>
      <c r="K24" s="98">
        <f>+Balance!G10</f>
        <v>317582.92301440006</v>
      </c>
      <c r="L24" s="99">
        <f>+K24/$K$27</f>
        <v>0.6371485817965703</v>
      </c>
      <c r="M24" s="98">
        <f>+Balance!H10</f>
        <v>364129.53070483205</v>
      </c>
      <c r="N24" s="100">
        <f>+M24/$M$27</f>
        <v>0.1826525592099863</v>
      </c>
    </row>
    <row r="25" spans="1:14" s="101" customFormat="1" x14ac:dyDescent="0.2">
      <c r="A25" s="97"/>
      <c r="B25" s="97" t="s">
        <v>165</v>
      </c>
      <c r="C25" s="98"/>
      <c r="D25" s="99"/>
      <c r="E25" s="98">
        <f>+Balance!D19</f>
        <v>-143603.31643835621</v>
      </c>
      <c r="F25" s="99">
        <f>+E25/$E$27</f>
        <v>18.724070267523391</v>
      </c>
      <c r="G25" s="98">
        <f>+Balance!E19</f>
        <v>-306661.04220890411</v>
      </c>
      <c r="H25" s="99">
        <f>+G25/$G$27</f>
        <v>2.9865676356615722</v>
      </c>
      <c r="I25" s="98">
        <f>+Balance!F19</f>
        <v>57688.646738979383</v>
      </c>
      <c r="J25" s="99">
        <f>+I25/$I$27</f>
        <v>0.18139148397740737</v>
      </c>
      <c r="K25" s="98">
        <f>+Balance!G19</f>
        <v>180861.13240342771</v>
      </c>
      <c r="L25" s="99">
        <f>+K25/$K$27</f>
        <v>0.36285141820342964</v>
      </c>
      <c r="M25" s="98">
        <f>+Balance!H19</f>
        <v>1629434.2730533786</v>
      </c>
      <c r="N25" s="100">
        <f>+M25/$M$27</f>
        <v>0.81734744079001376</v>
      </c>
    </row>
    <row r="26" spans="1:14" x14ac:dyDescent="0.2">
      <c r="A26" s="74"/>
      <c r="B26" s="74"/>
      <c r="C26" s="79"/>
      <c r="D26" s="76"/>
      <c r="E26" s="79"/>
      <c r="F26" s="76"/>
      <c r="G26" s="79"/>
      <c r="H26" s="76"/>
      <c r="I26" s="79"/>
      <c r="J26" s="76"/>
      <c r="K26" s="79"/>
      <c r="L26" s="76"/>
      <c r="M26" s="79"/>
      <c r="N26" s="77"/>
    </row>
    <row r="27" spans="1:14" s="89" customFormat="1" x14ac:dyDescent="0.2">
      <c r="A27" s="85" t="s">
        <v>55</v>
      </c>
      <c r="B27" s="85"/>
      <c r="C27" s="86"/>
      <c r="D27" s="87"/>
      <c r="E27" s="86">
        <f>+E24+E25</f>
        <v>-7669.4497716895421</v>
      </c>
      <c r="F27" s="87">
        <f>+E27/$E$27</f>
        <v>1</v>
      </c>
      <c r="G27" s="86">
        <f>+G24+G25</f>
        <v>-102680.09287557079</v>
      </c>
      <c r="H27" s="87">
        <f>+G27/$G$27</f>
        <v>1</v>
      </c>
      <c r="I27" s="86">
        <f>+I24+I25</f>
        <v>318033.93121897941</v>
      </c>
      <c r="J27" s="87">
        <f>+I27/$I$27</f>
        <v>1</v>
      </c>
      <c r="K27" s="86">
        <f>+K24+K25</f>
        <v>498444.0554178278</v>
      </c>
      <c r="L27" s="87">
        <f>+K27/$K$27</f>
        <v>1</v>
      </c>
      <c r="M27" s="86">
        <f>+M24+M25</f>
        <v>1993563.8037582105</v>
      </c>
      <c r="N27" s="88">
        <f>+M27/$M$27</f>
        <v>1</v>
      </c>
    </row>
    <row r="28" spans="1:14" x14ac:dyDescent="0.2">
      <c r="A28" s="74"/>
      <c r="B28" s="74"/>
      <c r="C28" s="79"/>
      <c r="D28" s="76"/>
      <c r="E28" s="79"/>
      <c r="F28" s="76"/>
      <c r="G28" s="79"/>
      <c r="H28" s="76"/>
      <c r="I28" s="79"/>
      <c r="J28" s="76"/>
      <c r="K28" s="79"/>
      <c r="L28" s="76"/>
      <c r="M28" s="79"/>
      <c r="N28" s="77"/>
    </row>
    <row r="29" spans="1:14" s="101" customFormat="1" x14ac:dyDescent="0.2">
      <c r="A29" s="97"/>
      <c r="B29" s="97" t="s">
        <v>171</v>
      </c>
      <c r="C29" s="98"/>
      <c r="D29" s="99"/>
      <c r="E29" s="98">
        <f>+Balance!D29</f>
        <v>-34955.333333333372</v>
      </c>
      <c r="F29" s="99">
        <f>+E29/$E$27</f>
        <v>4.5577367834606584</v>
      </c>
      <c r="G29" s="98">
        <f>+Balance!E29</f>
        <v>-142355.84066666666</v>
      </c>
      <c r="H29" s="99">
        <f>+G29/$G$27</f>
        <v>1.3864015573025972</v>
      </c>
      <c r="I29" s="98">
        <f>+Balance!F29</f>
        <v>293684.41065100004</v>
      </c>
      <c r="J29" s="99">
        <f>+I29/$I$27</f>
        <v>0.92343734998762217</v>
      </c>
      <c r="K29" s="98">
        <f>+Balance!G29</f>
        <v>462426.51759098016</v>
      </c>
      <c r="L29" s="99">
        <f>+K29/$K$27</f>
        <v>0.92774005942019833</v>
      </c>
      <c r="M29" s="98">
        <f>+Balance!H29</f>
        <v>1819006.63754215</v>
      </c>
      <c r="N29" s="100">
        <f>+M29/$M$27</f>
        <v>0.91243963905896053</v>
      </c>
    </row>
    <row r="30" spans="1:14" s="101" customFormat="1" x14ac:dyDescent="0.2">
      <c r="A30" s="97"/>
      <c r="B30" s="97" t="s">
        <v>166</v>
      </c>
      <c r="C30" s="98"/>
      <c r="D30" s="99"/>
      <c r="E30" s="98">
        <f>+Balance!D31</f>
        <v>0</v>
      </c>
      <c r="F30" s="99">
        <f>+E30/$E$27</f>
        <v>0</v>
      </c>
      <c r="G30" s="98">
        <f>+Balance!E31</f>
        <v>0</v>
      </c>
      <c r="H30" s="99">
        <f>+G30/$G$27</f>
        <v>0</v>
      </c>
      <c r="I30" s="98">
        <f>+Balance!F31</f>
        <v>0</v>
      </c>
      <c r="J30" s="99">
        <f>+I30/$I$27</f>
        <v>0</v>
      </c>
      <c r="K30" s="98">
        <f>+Balance!G31</f>
        <v>0</v>
      </c>
      <c r="L30" s="99">
        <f>+K30/$K$27</f>
        <v>0</v>
      </c>
      <c r="M30" s="98">
        <f>+Balance!H31</f>
        <v>0</v>
      </c>
      <c r="N30" s="100">
        <f>+M30/$M$27</f>
        <v>0</v>
      </c>
    </row>
    <row r="31" spans="1:14" s="101" customFormat="1" x14ac:dyDescent="0.2">
      <c r="A31" s="97"/>
      <c r="B31" s="97" t="s">
        <v>167</v>
      </c>
      <c r="C31" s="98"/>
      <c r="D31" s="99"/>
      <c r="E31" s="98">
        <f>+Balance!D38</f>
        <v>27285.883561643837</v>
      </c>
      <c r="F31" s="99">
        <f>+E31/$E$27</f>
        <v>-3.5577367834606592</v>
      </c>
      <c r="G31" s="98">
        <f>+Balance!E38</f>
        <v>39675.747791095891</v>
      </c>
      <c r="H31" s="99">
        <f>+G31/$G$27</f>
        <v>-0.38640155730259745</v>
      </c>
      <c r="I31" s="98">
        <f>+Balance!F38</f>
        <v>90548.654095376711</v>
      </c>
      <c r="J31" s="99">
        <f>+I31/$I$27</f>
        <v>0.28471381575015103</v>
      </c>
      <c r="K31" s="98">
        <f>+Balance!G38</f>
        <v>36017.537826847605</v>
      </c>
      <c r="L31" s="99">
        <f>+K31/$K$27</f>
        <v>7.225994057980166E-2</v>
      </c>
      <c r="M31" s="98">
        <f>+Balance!H38</f>
        <v>174557.16621606066</v>
      </c>
      <c r="N31" s="100">
        <f>+M31/$M$27</f>
        <v>8.7560360941039556E-2</v>
      </c>
    </row>
    <row r="32" spans="1:14" x14ac:dyDescent="0.2">
      <c r="A32" s="74"/>
      <c r="B32" s="74"/>
      <c r="C32" s="79"/>
      <c r="D32" s="76"/>
      <c r="E32" s="79"/>
      <c r="F32" s="76"/>
      <c r="G32" s="79"/>
      <c r="H32" s="76"/>
      <c r="I32" s="79"/>
      <c r="J32" s="76"/>
      <c r="K32" s="79"/>
      <c r="L32" s="76"/>
      <c r="M32" s="79"/>
      <c r="N32" s="77"/>
    </row>
    <row r="33" spans="1:14" s="89" customFormat="1" x14ac:dyDescent="0.2">
      <c r="A33" s="102" t="s">
        <v>61</v>
      </c>
      <c r="B33" s="102"/>
      <c r="C33" s="103"/>
      <c r="D33" s="104"/>
      <c r="E33" s="103">
        <f t="shared" ref="E33:K33" si="2">+E27</f>
        <v>-7669.4497716895421</v>
      </c>
      <c r="F33" s="104">
        <f>+E33/$E$27</f>
        <v>1</v>
      </c>
      <c r="G33" s="103">
        <f t="shared" si="2"/>
        <v>-102680.09287557079</v>
      </c>
      <c r="H33" s="104">
        <f>+G33/$G$27</f>
        <v>1</v>
      </c>
      <c r="I33" s="103">
        <f t="shared" si="2"/>
        <v>318033.93121897941</v>
      </c>
      <c r="J33" s="104">
        <f>+I33/$I$27</f>
        <v>1</v>
      </c>
      <c r="K33" s="103">
        <f t="shared" si="2"/>
        <v>498444.0554178278</v>
      </c>
      <c r="L33" s="104">
        <f>+K33/$K$27</f>
        <v>1</v>
      </c>
      <c r="M33" s="103">
        <f>+M27</f>
        <v>1993563.8037582105</v>
      </c>
      <c r="N33" s="105">
        <f>+M33/$M$27</f>
        <v>1</v>
      </c>
    </row>
    <row r="34" spans="1:14" x14ac:dyDescent="0.2">
      <c r="C34" s="94"/>
      <c r="E34" s="94"/>
      <c r="G34" s="94"/>
      <c r="I34" s="94"/>
      <c r="K34" s="94"/>
      <c r="M34" s="94"/>
    </row>
    <row r="35" spans="1:14" s="73" customFormat="1" x14ac:dyDescent="0.2">
      <c r="A35" s="70" t="s">
        <v>168</v>
      </c>
      <c r="B35" s="70"/>
      <c r="C35" s="71"/>
      <c r="D35" s="72"/>
      <c r="E35" s="71" t="str">
        <f>+E22</f>
        <v>Año 1</v>
      </c>
      <c r="F35" s="72"/>
      <c r="G35" s="71" t="str">
        <f>+G22</f>
        <v>Año 2</v>
      </c>
      <c r="H35" s="72"/>
      <c r="I35" s="71" t="str">
        <f>+I22</f>
        <v>Año 3</v>
      </c>
      <c r="J35" s="72"/>
      <c r="K35" s="71" t="str">
        <f>+K22</f>
        <v>Año 4</v>
      </c>
      <c r="L35" s="72"/>
      <c r="M35" s="71" t="str">
        <f>+M22</f>
        <v>Año 5</v>
      </c>
      <c r="N35" s="72"/>
    </row>
    <row r="36" spans="1:14" x14ac:dyDescent="0.2">
      <c r="A36" s="74"/>
      <c r="B36" s="74"/>
      <c r="C36" s="71"/>
      <c r="D36" s="72"/>
      <c r="E36" s="71"/>
      <c r="F36" s="72"/>
      <c r="G36" s="71"/>
      <c r="H36" s="72"/>
      <c r="I36" s="71"/>
      <c r="J36" s="72"/>
      <c r="K36" s="71"/>
      <c r="L36" s="72"/>
      <c r="M36" s="71"/>
      <c r="N36" s="72"/>
    </row>
    <row r="37" spans="1:14" x14ac:dyDescent="0.2">
      <c r="A37" s="74"/>
      <c r="B37" s="74" t="s">
        <v>21</v>
      </c>
      <c r="C37" s="79"/>
      <c r="D37" s="76"/>
      <c r="E37" s="79">
        <f>+PyG!D27</f>
        <v>-277955.33333333337</v>
      </c>
      <c r="F37" s="76"/>
      <c r="G37" s="79">
        <f>+G20</f>
        <v>-107400.50733333328</v>
      </c>
      <c r="H37" s="76"/>
      <c r="I37" s="79">
        <f>+I20</f>
        <v>439226.09679666668</v>
      </c>
      <c r="J37" s="76"/>
      <c r="K37" s="79">
        <f>+K20</f>
        <v>221968.02662740016</v>
      </c>
      <c r="L37" s="76"/>
      <c r="M37" s="79">
        <f>+M20</f>
        <v>1918306.7100019224</v>
      </c>
      <c r="N37" s="77"/>
    </row>
    <row r="38" spans="1:14" x14ac:dyDescent="0.2">
      <c r="A38" s="74"/>
      <c r="B38" s="74" t="s">
        <v>134</v>
      </c>
      <c r="C38" s="79"/>
      <c r="D38" s="76"/>
      <c r="E38" s="79">
        <f>+Valoración!D18</f>
        <v>0</v>
      </c>
      <c r="F38" s="76"/>
      <c r="G38" s="79">
        <f>+Valoración!E18</f>
        <v>0</v>
      </c>
      <c r="H38" s="76"/>
      <c r="I38" s="79">
        <f>+Valoración!F18</f>
        <v>131767.829039</v>
      </c>
      <c r="J38" s="76"/>
      <c r="K38" s="79">
        <f>+PyG!G36</f>
        <v>53225.91968742005</v>
      </c>
      <c r="L38" s="76"/>
      <c r="M38" s="79">
        <f>+Valoración!H18</f>
        <v>575492.01300057676</v>
      </c>
      <c r="N38" s="77"/>
    </row>
    <row r="39" spans="1:14" x14ac:dyDescent="0.2">
      <c r="A39" s="74"/>
      <c r="B39" s="74" t="s">
        <v>65</v>
      </c>
      <c r="C39" s="79"/>
      <c r="D39" s="76"/>
      <c r="E39" s="79">
        <f>+E18</f>
        <v>43150.133333333331</v>
      </c>
      <c r="F39" s="76"/>
      <c r="G39" s="79">
        <f>+G18</f>
        <v>67199.437333333335</v>
      </c>
      <c r="H39" s="76"/>
      <c r="I39" s="79">
        <f>+I18</f>
        <v>98840.380453333331</v>
      </c>
      <c r="J39" s="76"/>
      <c r="K39" s="79">
        <f>+K18</f>
        <v>122443.21853360001</v>
      </c>
      <c r="L39" s="76"/>
      <c r="M39" s="79">
        <f>+M18</f>
        <v>164690.675089608</v>
      </c>
      <c r="N39" s="77"/>
    </row>
    <row r="40" spans="1:14" x14ac:dyDescent="0.2">
      <c r="A40" s="74"/>
      <c r="B40" s="74" t="s">
        <v>20</v>
      </c>
      <c r="C40" s="79"/>
      <c r="D40" s="76"/>
      <c r="E40" s="79">
        <f>+Valoración!D23</f>
        <v>179084</v>
      </c>
      <c r="F40" s="76"/>
      <c r="G40" s="79">
        <f>+Valoración!E23</f>
        <v>135246.51999999999</v>
      </c>
      <c r="H40" s="76"/>
      <c r="I40" s="79">
        <f>+Valoración!F23</f>
        <v>155204.71560000003</v>
      </c>
      <c r="J40" s="76"/>
      <c r="K40" s="79">
        <f>+Valoración!G23</f>
        <v>179680.85706800001</v>
      </c>
      <c r="L40" s="76"/>
      <c r="M40" s="79">
        <f>+Valoración!H23</f>
        <v>211237.28278004</v>
      </c>
      <c r="N40" s="77"/>
    </row>
    <row r="41" spans="1:14" x14ac:dyDescent="0.2">
      <c r="A41" s="74"/>
      <c r="B41" s="74" t="s">
        <v>169</v>
      </c>
      <c r="C41" s="79"/>
      <c r="D41" s="76"/>
      <c r="E41" s="79">
        <f>+Valoración!D22</f>
        <v>-17704.315068493153</v>
      </c>
      <c r="F41" s="76"/>
      <c r="G41" s="79">
        <f>+Valoración!E22</f>
        <v>29557.117654109585</v>
      </c>
      <c r="H41" s="76"/>
      <c r="I41" s="79">
        <f>+Valoración!F22</f>
        <v>12496.717982362999</v>
      </c>
      <c r="J41" s="76"/>
      <c r="K41" s="79">
        <f>+Valoración!G22</f>
        <v>-77743.799453460611</v>
      </c>
      <c r="L41" s="76"/>
      <c r="M41" s="79">
        <f>+Valoración!H22</f>
        <v>115125.65398614459</v>
      </c>
      <c r="N41" s="77"/>
    </row>
    <row r="42" spans="1:14" x14ac:dyDescent="0.2">
      <c r="A42" s="74"/>
      <c r="B42" s="74"/>
      <c r="C42" s="79"/>
      <c r="D42" s="76"/>
      <c r="E42" s="79"/>
      <c r="F42" s="76"/>
      <c r="G42" s="79"/>
      <c r="H42" s="76"/>
      <c r="I42" s="79"/>
      <c r="J42" s="76"/>
      <c r="K42" s="79"/>
      <c r="L42" s="76"/>
      <c r="M42" s="79"/>
      <c r="N42" s="77"/>
    </row>
    <row r="43" spans="1:14" s="84" customFormat="1" x14ac:dyDescent="0.2">
      <c r="A43" s="90"/>
      <c r="B43" s="90" t="s">
        <v>170</v>
      </c>
      <c r="C43" s="91"/>
      <c r="D43" s="92"/>
      <c r="E43" s="91">
        <f>+E37-E38+E39-E40+E41</f>
        <v>-431593.5150684932</v>
      </c>
      <c r="F43" s="92"/>
      <c r="G43" s="91">
        <f>+G37-G38+G39-G40+G41</f>
        <v>-145890.47234589036</v>
      </c>
      <c r="H43" s="92"/>
      <c r="I43" s="91">
        <f>+I37-I38+I39-I40+I41</f>
        <v>263590.65059336292</v>
      </c>
      <c r="J43" s="92"/>
      <c r="K43" s="91">
        <f>+K37-K38+K39-K40+K41</f>
        <v>33760.668952119537</v>
      </c>
      <c r="L43" s="92"/>
      <c r="M43" s="91">
        <f>+M37-M38+M39-M40+M41</f>
        <v>1411393.7432970582</v>
      </c>
      <c r="N43" s="93"/>
    </row>
    <row r="44" spans="1:14" x14ac:dyDescent="0.2">
      <c r="C44" s="94"/>
      <c r="E44" s="94"/>
      <c r="G44" s="94"/>
      <c r="I44" s="94"/>
      <c r="K44" s="94"/>
      <c r="M44" s="94"/>
    </row>
    <row r="45" spans="1:14" x14ac:dyDescent="0.2">
      <c r="C45" s="94"/>
      <c r="E45" s="94"/>
      <c r="G45" s="94"/>
      <c r="I45" s="94"/>
      <c r="K45" s="94"/>
      <c r="M45" s="94"/>
    </row>
    <row r="46" spans="1:14" x14ac:dyDescent="0.2">
      <c r="C46" s="94"/>
      <c r="E46" s="94"/>
      <c r="G46" s="94"/>
      <c r="I46" s="94"/>
      <c r="K46" s="94"/>
      <c r="M46" s="94"/>
    </row>
    <row r="47" spans="1:14" x14ac:dyDescent="0.2">
      <c r="C47" s="94"/>
      <c r="E47" s="94"/>
      <c r="G47" s="94"/>
      <c r="I47" s="94"/>
      <c r="K47" s="94"/>
      <c r="M47" s="94"/>
    </row>
    <row r="48" spans="1:14" x14ac:dyDescent="0.2">
      <c r="C48" s="94"/>
      <c r="E48" s="94"/>
      <c r="G48" s="94"/>
      <c r="I48" s="94"/>
      <c r="K48" s="94"/>
      <c r="M48" s="94"/>
    </row>
    <row r="49" spans="3:13" x14ac:dyDescent="0.2">
      <c r="C49" s="94"/>
      <c r="E49" s="94"/>
      <c r="G49" s="94"/>
      <c r="I49" s="94"/>
      <c r="K49" s="94"/>
      <c r="M49" s="94"/>
    </row>
    <row r="50" spans="3:13" x14ac:dyDescent="0.2">
      <c r="C50" s="94"/>
      <c r="E50" s="94"/>
      <c r="G50" s="94"/>
      <c r="I50" s="94"/>
      <c r="K50" s="94"/>
      <c r="M50" s="94"/>
    </row>
    <row r="51" spans="3:13" x14ac:dyDescent="0.2">
      <c r="C51" s="94"/>
      <c r="E51" s="94"/>
      <c r="G51" s="94"/>
      <c r="I51" s="94"/>
      <c r="K51" s="94"/>
      <c r="M51" s="94"/>
    </row>
    <row r="52" spans="3:13" x14ac:dyDescent="0.2">
      <c r="C52" s="94"/>
      <c r="E52" s="94"/>
      <c r="G52" s="94"/>
      <c r="I52" s="94"/>
      <c r="K52" s="94"/>
      <c r="M52" s="94"/>
    </row>
    <row r="53" spans="3:13" x14ac:dyDescent="0.2">
      <c r="C53" s="94"/>
      <c r="E53" s="94"/>
      <c r="G53" s="94"/>
      <c r="I53" s="94"/>
      <c r="K53" s="94"/>
      <c r="M53" s="94"/>
    </row>
    <row r="54" spans="3:13" x14ac:dyDescent="0.2">
      <c r="C54" s="94"/>
      <c r="E54" s="94"/>
      <c r="G54" s="94"/>
      <c r="I54" s="94"/>
      <c r="K54" s="94"/>
      <c r="M54" s="94"/>
    </row>
    <row r="55" spans="3:13" x14ac:dyDescent="0.2">
      <c r="C55" s="94"/>
      <c r="E55" s="94"/>
      <c r="G55" s="94"/>
      <c r="I55" s="94"/>
      <c r="K55" s="94"/>
      <c r="M55" s="94"/>
    </row>
    <row r="56" spans="3:13" x14ac:dyDescent="0.2">
      <c r="C56" s="94"/>
      <c r="E56" s="94"/>
      <c r="G56" s="94"/>
      <c r="I56" s="94"/>
      <c r="K56" s="94"/>
      <c r="M56" s="94"/>
    </row>
    <row r="57" spans="3:13" x14ac:dyDescent="0.2">
      <c r="C57" s="94"/>
      <c r="E57" s="94"/>
      <c r="G57" s="94"/>
      <c r="I57" s="94"/>
      <c r="K57" s="94"/>
      <c r="M57" s="94"/>
    </row>
    <row r="58" spans="3:13" x14ac:dyDescent="0.2">
      <c r="C58" s="94"/>
      <c r="E58" s="94"/>
      <c r="G58" s="94"/>
      <c r="I58" s="94"/>
      <c r="K58" s="94"/>
      <c r="M58" s="94"/>
    </row>
  </sheetData>
  <phoneticPr fontId="12" type="noConversion"/>
  <printOptions horizontalCentered="1" verticalCentered="1"/>
  <pageMargins left="0.78740157480314965" right="0.78740157480314965" top="0.98425196850393704" bottom="0.98425196850393704" header="0" footer="0"/>
  <pageSetup paperSize="9" scale="81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tabSelected="1" zoomScale="75" workbookViewId="0">
      <selection activeCell="F15" sqref="F15"/>
    </sheetView>
  </sheetViews>
  <sheetFormatPr baseColWidth="10" defaultRowHeight="12.75" x14ac:dyDescent="0.2"/>
  <cols>
    <col min="1" max="1" width="1.85546875" style="18" customWidth="1"/>
    <col min="2" max="2" width="40.7109375" style="18" bestFit="1" customWidth="1"/>
    <col min="3" max="3" width="11.42578125" style="18"/>
    <col min="4" max="4" width="12.5703125" style="18" bestFit="1" customWidth="1"/>
    <col min="5" max="8" width="13.5703125" style="18" bestFit="1" customWidth="1"/>
    <col min="9" max="9" width="4.5703125" style="18" customWidth="1"/>
    <col min="10" max="10" width="27.85546875" style="18" bestFit="1" customWidth="1"/>
    <col min="11" max="16384" width="11.42578125" style="18"/>
  </cols>
  <sheetData>
    <row r="1" spans="1:21" x14ac:dyDescent="0.2">
      <c r="A1" s="22" t="s">
        <v>110</v>
      </c>
    </row>
    <row r="2" spans="1:21" x14ac:dyDescent="0.2">
      <c r="A2" s="18" t="s">
        <v>111</v>
      </c>
    </row>
    <row r="3" spans="1:21" x14ac:dyDescent="0.2">
      <c r="K3" s="18" t="s">
        <v>112</v>
      </c>
    </row>
    <row r="4" spans="1:21" x14ac:dyDescent="0.2">
      <c r="J4" s="18" t="s">
        <v>113</v>
      </c>
    </row>
    <row r="5" spans="1:21" x14ac:dyDescent="0.2">
      <c r="C5" s="22">
        <f>+PyG!C4</f>
        <v>0</v>
      </c>
      <c r="D5" s="22" t="str">
        <f>+PyG!D4</f>
        <v>Año 1</v>
      </c>
      <c r="E5" s="22" t="str">
        <f>+PyG!E4</f>
        <v>Año 2</v>
      </c>
      <c r="F5" s="22" t="str">
        <f>+PyG!F4</f>
        <v>Año 3</v>
      </c>
      <c r="G5" s="22" t="str">
        <f>+PyG!G4</f>
        <v>Año 4</v>
      </c>
      <c r="H5" s="22" t="str">
        <f>+PyG!H4</f>
        <v>Año 5</v>
      </c>
      <c r="K5" s="60" t="s">
        <v>153</v>
      </c>
      <c r="L5" s="60" t="s">
        <v>154</v>
      </c>
      <c r="M5" s="60" t="s">
        <v>155</v>
      </c>
      <c r="N5" s="60" t="s">
        <v>156</v>
      </c>
    </row>
    <row r="6" spans="1:21" x14ac:dyDescent="0.2">
      <c r="B6" s="18" t="s">
        <v>114</v>
      </c>
      <c r="C6" s="58">
        <v>4.19E-2</v>
      </c>
      <c r="D6" s="58">
        <v>4.19E-2</v>
      </c>
      <c r="E6" s="58">
        <v>4.19E-2</v>
      </c>
      <c r="F6" s="58">
        <v>4.19E-2</v>
      </c>
      <c r="G6" s="58">
        <v>4.19E-2</v>
      </c>
      <c r="H6" s="58">
        <v>4.19E-2</v>
      </c>
      <c r="J6" s="18" t="s">
        <v>115</v>
      </c>
      <c r="K6" s="60"/>
      <c r="L6" s="60"/>
      <c r="M6" s="60"/>
      <c r="N6" s="60"/>
      <c r="O6" s="59"/>
      <c r="P6" s="59"/>
      <c r="Q6" s="59"/>
      <c r="R6" s="59"/>
      <c r="S6" s="59"/>
      <c r="T6" s="59"/>
      <c r="U6" s="59"/>
    </row>
    <row r="7" spans="1:21" x14ac:dyDescent="0.2">
      <c r="B7" s="18" t="s">
        <v>116</v>
      </c>
      <c r="C7" s="58">
        <v>0.05</v>
      </c>
      <c r="D7" s="58">
        <v>0.05</v>
      </c>
      <c r="E7" s="58">
        <v>0.05</v>
      </c>
      <c r="F7" s="58">
        <v>0.05</v>
      </c>
      <c r="G7" s="58">
        <v>0.05</v>
      </c>
      <c r="H7" s="58">
        <v>0.05</v>
      </c>
      <c r="J7" s="18" t="s">
        <v>117</v>
      </c>
      <c r="K7" s="60"/>
      <c r="L7" s="60"/>
      <c r="M7" s="60"/>
      <c r="N7" s="60"/>
      <c r="O7" s="60"/>
      <c r="P7" s="60"/>
      <c r="Q7" s="60"/>
      <c r="R7" s="60"/>
      <c r="S7" s="60"/>
      <c r="T7" s="60"/>
    </row>
    <row r="8" spans="1:21" x14ac:dyDescent="0.2">
      <c r="B8" s="18" t="s">
        <v>118</v>
      </c>
      <c r="C8" s="59">
        <f t="shared" ref="C8:H8" si="0">+$N$15</f>
        <v>1.1360128617363343</v>
      </c>
      <c r="D8" s="59">
        <f t="shared" si="0"/>
        <v>1.1360128617363343</v>
      </c>
      <c r="E8" s="59">
        <f t="shared" si="0"/>
        <v>1.1360128617363343</v>
      </c>
      <c r="F8" s="59">
        <f t="shared" si="0"/>
        <v>1.1360128617363343</v>
      </c>
      <c r="G8" s="59">
        <f t="shared" si="0"/>
        <v>1.1360128617363343</v>
      </c>
      <c r="H8" s="59">
        <f t="shared" si="0"/>
        <v>1.1360128617363343</v>
      </c>
      <c r="J8" s="18" t="s">
        <v>119</v>
      </c>
      <c r="K8" s="60">
        <v>128.44</v>
      </c>
      <c r="L8" s="60">
        <v>0</v>
      </c>
      <c r="M8" s="60">
        <v>0</v>
      </c>
      <c r="N8" s="60">
        <v>17.059999999999999</v>
      </c>
      <c r="O8" s="59"/>
      <c r="P8" s="59"/>
      <c r="Q8" s="59"/>
      <c r="R8" s="59"/>
      <c r="S8" s="59"/>
      <c r="T8" s="59"/>
      <c r="U8" s="59"/>
    </row>
    <row r="9" spans="1:21" x14ac:dyDescent="0.2">
      <c r="B9" s="18" t="s">
        <v>120</v>
      </c>
      <c r="C9" s="61">
        <v>0.3</v>
      </c>
      <c r="D9" s="61">
        <f>+Impuestos!D14</f>
        <v>0</v>
      </c>
      <c r="E9" s="61">
        <f>+Impuestos!E14</f>
        <v>0</v>
      </c>
      <c r="F9" s="61">
        <f>+Impuestos!F14</f>
        <v>0.3</v>
      </c>
      <c r="G9" s="61">
        <f>+Impuestos!G14</f>
        <v>0.3</v>
      </c>
      <c r="H9" s="61">
        <f>+Impuestos!H14</f>
        <v>0.3</v>
      </c>
      <c r="J9" s="18" t="s">
        <v>121</v>
      </c>
      <c r="K9" s="60">
        <v>2700</v>
      </c>
      <c r="L9" s="60">
        <v>2570</v>
      </c>
      <c r="M9" s="60">
        <v>245.43</v>
      </c>
      <c r="N9" s="60">
        <v>17.149999999999999</v>
      </c>
      <c r="O9" s="59"/>
      <c r="P9" s="59"/>
      <c r="Q9" s="59"/>
      <c r="R9" s="59"/>
      <c r="S9" s="59"/>
      <c r="T9" s="59"/>
      <c r="U9" s="59"/>
    </row>
    <row r="10" spans="1:21" x14ac:dyDescent="0.2">
      <c r="B10" s="18" t="s">
        <v>122</v>
      </c>
      <c r="C10" s="58">
        <v>7.4999999999999997E-2</v>
      </c>
      <c r="D10" s="58">
        <v>7.4999999999999997E-2</v>
      </c>
      <c r="E10" s="58">
        <v>7.4999999999999997E-2</v>
      </c>
      <c r="F10" s="58">
        <v>7.4999999999999997E-2</v>
      </c>
      <c r="G10" s="58">
        <v>7.4999999999999997E-2</v>
      </c>
      <c r="H10" s="58">
        <v>7.4999999999999997E-2</v>
      </c>
      <c r="J10" s="18" t="s">
        <v>123</v>
      </c>
      <c r="K10" s="60">
        <v>0.35</v>
      </c>
      <c r="L10" s="60">
        <v>0.35</v>
      </c>
      <c r="M10" s="60">
        <v>0.35</v>
      </c>
      <c r="N10" s="60"/>
      <c r="O10" s="39"/>
      <c r="P10" s="39"/>
      <c r="Q10" s="39"/>
      <c r="R10" s="39"/>
      <c r="S10" s="39"/>
      <c r="T10" s="39"/>
      <c r="U10" s="39"/>
    </row>
    <row r="11" spans="1:21" x14ac:dyDescent="0.2">
      <c r="B11" s="18" t="s">
        <v>124</v>
      </c>
      <c r="C11" s="58">
        <v>2.5000000000000001E-2</v>
      </c>
      <c r="D11" s="58">
        <v>2.5000000000000001E-2</v>
      </c>
      <c r="E11" s="58">
        <v>2.5000000000000001E-2</v>
      </c>
      <c r="F11" s="58">
        <v>2.5000000000000001E-2</v>
      </c>
      <c r="G11" s="58">
        <v>2.5000000000000001E-2</v>
      </c>
      <c r="H11" s="58">
        <v>2.5000000000000001E-2</v>
      </c>
      <c r="J11" s="18" t="s">
        <v>125</v>
      </c>
      <c r="K11" s="60">
        <v>0.78</v>
      </c>
      <c r="L11" s="60">
        <v>1.91</v>
      </c>
      <c r="M11" s="60">
        <v>1.5</v>
      </c>
      <c r="N11" s="60">
        <v>1.54</v>
      </c>
      <c r="O11" s="60"/>
      <c r="P11" s="60"/>
      <c r="Q11" s="60"/>
      <c r="R11" s="60"/>
      <c r="S11" s="60"/>
      <c r="T11" s="60"/>
      <c r="U11" s="60"/>
    </row>
    <row r="12" spans="1:21" x14ac:dyDescent="0.2">
      <c r="B12" s="18" t="s">
        <v>126</v>
      </c>
      <c r="C12" s="39">
        <v>0.3</v>
      </c>
      <c r="D12" s="39">
        <v>0.3</v>
      </c>
      <c r="E12" s="39">
        <v>0.3</v>
      </c>
      <c r="F12" s="39">
        <v>0.3</v>
      </c>
      <c r="G12" s="39">
        <v>0.3</v>
      </c>
      <c r="H12" s="39">
        <v>0.3</v>
      </c>
      <c r="J12" s="18" t="s">
        <v>127</v>
      </c>
      <c r="K12" s="60">
        <f>K11/(1+(1-K10)*(K8/K9))</f>
        <v>0.75660520656471775</v>
      </c>
      <c r="L12" s="60">
        <f>L11/(1+(1-L10)*(L8/L9))</f>
        <v>1.91</v>
      </c>
      <c r="M12" s="60">
        <f>M11/(1+(1-M10)*(M8/M9))</f>
        <v>1.5</v>
      </c>
      <c r="N12" s="60">
        <f>N11/(1+(1-N10)*(N8/N9))</f>
        <v>0.77202572347266885</v>
      </c>
      <c r="O12" s="60"/>
      <c r="P12" s="60"/>
      <c r="Q12" s="60"/>
      <c r="R12" s="60"/>
      <c r="S12" s="60"/>
      <c r="T12" s="60"/>
      <c r="U12" s="60"/>
    </row>
    <row r="13" spans="1:21" x14ac:dyDescent="0.2">
      <c r="K13" s="60"/>
      <c r="L13" s="60"/>
      <c r="M13" s="60"/>
      <c r="N13" s="60"/>
    </row>
    <row r="14" spans="1:21" ht="13.5" thickBot="1" x14ac:dyDescent="0.25">
      <c r="J14" s="18" t="s">
        <v>128</v>
      </c>
    </row>
    <row r="15" spans="1:21" ht="13.5" thickBot="1" x14ac:dyDescent="0.25">
      <c r="B15" s="18" t="s">
        <v>129</v>
      </c>
      <c r="C15" s="19"/>
      <c r="D15" s="19">
        <f>+PyG!C5</f>
        <v>0</v>
      </c>
      <c r="E15" s="19">
        <f>+PyG!D5</f>
        <v>461500</v>
      </c>
      <c r="F15" s="19"/>
      <c r="G15" s="19">
        <f>+PyG!F5</f>
        <v>1903818.5249999999</v>
      </c>
      <c r="H15" s="19">
        <f>+PyG!G5</f>
        <v>1189594.3800000004</v>
      </c>
      <c r="J15" s="18" t="s">
        <v>130</v>
      </c>
      <c r="M15" s="18" t="s">
        <v>131</v>
      </c>
      <c r="N15" s="68">
        <f>MEDIAN(K12:N12)</f>
        <v>1.1360128617363343</v>
      </c>
      <c r="R15" s="60"/>
    </row>
    <row r="16" spans="1:21" x14ac:dyDescent="0.2">
      <c r="C16" s="19"/>
      <c r="M16" s="18" t="s">
        <v>132</v>
      </c>
      <c r="N16" s="60">
        <f>AVERAGE(K12:N12)</f>
        <v>1.2346577325093466</v>
      </c>
      <c r="R16" s="60"/>
    </row>
    <row r="17" spans="2:8" x14ac:dyDescent="0.2">
      <c r="B17" s="18" t="s">
        <v>133</v>
      </c>
      <c r="D17" s="19">
        <f>+PyG!D27</f>
        <v>-277955.33333333337</v>
      </c>
      <c r="E17" s="19">
        <f>+PyG!E27</f>
        <v>-107400.50733333328</v>
      </c>
      <c r="F17" s="19">
        <f>+PyG!F27</f>
        <v>439226.09679666668</v>
      </c>
      <c r="G17" s="19">
        <f>+PyG!G27</f>
        <v>221968.02662740016</v>
      </c>
      <c r="H17" s="19">
        <f>+PyG!H27</f>
        <v>1918306.7100019224</v>
      </c>
    </row>
    <row r="18" spans="2:8" x14ac:dyDescent="0.2">
      <c r="B18" s="18" t="s">
        <v>134</v>
      </c>
      <c r="D18" s="19">
        <f>+D17*D9</f>
        <v>0</v>
      </c>
      <c r="E18" s="19">
        <f>+E17*E9</f>
        <v>0</v>
      </c>
      <c r="F18" s="19">
        <f>+F17*F9</f>
        <v>131767.829039</v>
      </c>
      <c r="G18" s="19">
        <f>+G17*G9</f>
        <v>66590.407988220046</v>
      </c>
      <c r="H18" s="19">
        <f>+H17*H9</f>
        <v>575492.01300057676</v>
      </c>
    </row>
    <row r="19" spans="2:8" x14ac:dyDescent="0.2">
      <c r="B19" s="18" t="s">
        <v>135</v>
      </c>
      <c r="D19" s="19">
        <f>+D17-D18</f>
        <v>-277955.33333333337</v>
      </c>
      <c r="E19" s="19">
        <f>+E17-E18</f>
        <v>-107400.50733333328</v>
      </c>
      <c r="F19" s="19">
        <f>+F17-F18</f>
        <v>307458.26775766665</v>
      </c>
      <c r="G19" s="19">
        <f>+G17-G18</f>
        <v>155377.61863918012</v>
      </c>
      <c r="H19" s="19">
        <f>+H17-H18</f>
        <v>1342814.6970013457</v>
      </c>
    </row>
    <row r="20" spans="2:8" x14ac:dyDescent="0.2">
      <c r="C20" s="19"/>
      <c r="D20" s="19"/>
      <c r="E20" s="19"/>
      <c r="F20" s="19"/>
      <c r="G20" s="19"/>
      <c r="H20" s="19"/>
    </row>
    <row r="21" spans="2:8" x14ac:dyDescent="0.2">
      <c r="B21" s="18" t="s">
        <v>65</v>
      </c>
      <c r="C21" s="19"/>
      <c r="D21" s="19">
        <f>+PyG!D24</f>
        <v>43150.133333333331</v>
      </c>
      <c r="E21" s="19">
        <f>+PyG!E24</f>
        <v>67199.437333333335</v>
      </c>
      <c r="F21" s="19">
        <f>+PyG!F24</f>
        <v>98840.380453333331</v>
      </c>
      <c r="G21" s="19">
        <f>+PyG!G24</f>
        <v>122443.21853360001</v>
      </c>
      <c r="H21" s="19">
        <f>+PyG!H24</f>
        <v>164690.675089608</v>
      </c>
    </row>
    <row r="22" spans="2:8" x14ac:dyDescent="0.2">
      <c r="B22" s="18" t="s">
        <v>94</v>
      </c>
      <c r="C22" s="19"/>
      <c r="D22" s="19">
        <f>+'Masas de balance'!D57</f>
        <v>-17704.315068493153</v>
      </c>
      <c r="E22" s="19">
        <f>+'Masas de balance'!E57</f>
        <v>29557.117654109585</v>
      </c>
      <c r="F22" s="19">
        <f>+'Masas de balance'!F57</f>
        <v>12496.717982362999</v>
      </c>
      <c r="G22" s="19">
        <f>+'Masas de balance'!G57</f>
        <v>-77743.799453460611</v>
      </c>
      <c r="H22" s="19">
        <f>+'Masas de balance'!H57</f>
        <v>115125.65398614459</v>
      </c>
    </row>
    <row r="23" spans="2:8" x14ac:dyDescent="0.2">
      <c r="B23" s="18" t="s">
        <v>25</v>
      </c>
      <c r="C23" s="19"/>
      <c r="D23" s="19">
        <f>+Capex!D17</f>
        <v>179084</v>
      </c>
      <c r="E23" s="19">
        <f>+Capex!E17</f>
        <v>135246.51999999999</v>
      </c>
      <c r="F23" s="19">
        <f>+Capex!F17</f>
        <v>155204.71560000003</v>
      </c>
      <c r="G23" s="19">
        <f>+Capex!G17</f>
        <v>179680.85706800001</v>
      </c>
      <c r="H23" s="19">
        <f>+Capex!H17</f>
        <v>211237.28278004</v>
      </c>
    </row>
    <row r="24" spans="2:8" s="22" customFormat="1" x14ac:dyDescent="0.2">
      <c r="B24" s="22" t="s">
        <v>136</v>
      </c>
      <c r="D24" s="23">
        <f>+D19+D21+D22-D23</f>
        <v>-431593.5150684932</v>
      </c>
      <c r="E24" s="23">
        <f>+E19+E21+E22-E23</f>
        <v>-145890.47234589036</v>
      </c>
      <c r="F24" s="23">
        <f>+F19+F21+F22-F23</f>
        <v>263590.65059336298</v>
      </c>
      <c r="G24" s="23">
        <f>+G19+G21+G22-G23</f>
        <v>20396.180651319504</v>
      </c>
      <c r="H24" s="23">
        <f>+H19+H21+H22-H23</f>
        <v>1411393.7432970582</v>
      </c>
    </row>
    <row r="26" spans="2:8" x14ac:dyDescent="0.2">
      <c r="B26" s="18" t="s">
        <v>137</v>
      </c>
      <c r="H26" s="39">
        <v>0.01</v>
      </c>
    </row>
    <row r="27" spans="2:8" x14ac:dyDescent="0.2">
      <c r="B27" s="18" t="s">
        <v>138</v>
      </c>
      <c r="H27" s="31">
        <f>(H24*(1+H26))/(H43-H26)</f>
        <v>5939615.3363751201</v>
      </c>
    </row>
    <row r="29" spans="2:8" s="22" customFormat="1" x14ac:dyDescent="0.2">
      <c r="B29" s="22" t="s">
        <v>139</v>
      </c>
      <c r="D29" s="23">
        <f>+D24+D27</f>
        <v>-431593.5150684932</v>
      </c>
      <c r="E29" s="23">
        <f>+E24+E27</f>
        <v>-145890.47234589036</v>
      </c>
      <c r="F29" s="23">
        <f>+F24+F27</f>
        <v>263590.65059336298</v>
      </c>
      <c r="G29" s="23">
        <f>+G24+G27</f>
        <v>20396.180651319504</v>
      </c>
      <c r="H29" s="23">
        <f>+H24+H27</f>
        <v>7351009.0796721783</v>
      </c>
    </row>
    <row r="32" spans="2:8" x14ac:dyDescent="0.2">
      <c r="B32" s="18" t="s">
        <v>109</v>
      </c>
    </row>
    <row r="33" spans="2:8" x14ac:dyDescent="0.2">
      <c r="B33" s="18" t="s">
        <v>140</v>
      </c>
      <c r="C33" s="19">
        <f>D33/(1+D43)+C29</f>
        <v>2113446.6295693968</v>
      </c>
      <c r="D33" s="19">
        <f>E33/(1+E43)+D29</f>
        <v>2641808.2869617459</v>
      </c>
      <c r="E33" s="19">
        <f>F33/(1+F43)+E29</f>
        <v>3841752.2525377991</v>
      </c>
      <c r="F33" s="19">
        <f>G33/(1+G43)+F29</f>
        <v>4984553.4061046122</v>
      </c>
      <c r="G33" s="19">
        <f>H33/(1+H43)+G29</f>
        <v>5901203.444389062</v>
      </c>
      <c r="H33" s="19">
        <f>+H29</f>
        <v>7351009.0796721783</v>
      </c>
    </row>
    <row r="34" spans="2:8" x14ac:dyDescent="0.2">
      <c r="B34" s="18" t="s">
        <v>141</v>
      </c>
      <c r="C34" s="19">
        <f>+'Balance histórico'!D18</f>
        <v>0</v>
      </c>
      <c r="D34" s="19">
        <f>+Balance!D18</f>
        <v>-188593.5150684932</v>
      </c>
      <c r="E34" s="19">
        <f>+Balance!E18</f>
        <v>-334483.98741438356</v>
      </c>
      <c r="F34" s="19">
        <f>+Balance!F18</f>
        <v>57688.646738979383</v>
      </c>
      <c r="G34" s="19">
        <f>+Balance!G18</f>
        <v>91449.31569109892</v>
      </c>
      <c r="H34" s="19">
        <f>+Balance!H18</f>
        <v>1516608.4819379812</v>
      </c>
    </row>
    <row r="35" spans="2:8" x14ac:dyDescent="0.2">
      <c r="B35" s="18" t="s">
        <v>142</v>
      </c>
      <c r="C35" s="19">
        <f>+'Balance histórico'!D31</f>
        <v>0</v>
      </c>
      <c r="D35" s="19">
        <f>+Balance!D31+Balance!D33</f>
        <v>0</v>
      </c>
      <c r="E35" s="19">
        <f>+Balance!E31+Balance!E33</f>
        <v>0</v>
      </c>
      <c r="F35" s="19">
        <f>+Balance!F31+Balance!F33</f>
        <v>0</v>
      </c>
      <c r="G35" s="19">
        <f>+Balance!G31+Balance!G33</f>
        <v>0</v>
      </c>
      <c r="H35" s="19">
        <f>+Balance!H31+Balance!H33</f>
        <v>0</v>
      </c>
    </row>
    <row r="36" spans="2:8" s="22" customFormat="1" ht="13.5" thickBot="1" x14ac:dyDescent="0.25">
      <c r="B36" s="22" t="s">
        <v>143</v>
      </c>
      <c r="C36" s="23">
        <f t="shared" ref="C36:H36" si="1">+C33+C34-C35</f>
        <v>2113446.6295693968</v>
      </c>
      <c r="D36" s="23">
        <f t="shared" si="1"/>
        <v>2453214.7718932526</v>
      </c>
      <c r="E36" s="23">
        <f t="shared" si="1"/>
        <v>3507268.2651234157</v>
      </c>
      <c r="F36" s="23">
        <f>+F33+F34-F35</f>
        <v>5042242.0528435912</v>
      </c>
      <c r="G36" s="23">
        <f t="shared" si="1"/>
        <v>5992652.7600801606</v>
      </c>
      <c r="H36" s="23">
        <f t="shared" si="1"/>
        <v>8867617.5616101585</v>
      </c>
    </row>
    <row r="37" spans="2:8" s="22" customFormat="1" ht="13.5" thickBot="1" x14ac:dyDescent="0.25">
      <c r="B37" s="62" t="s">
        <v>144</v>
      </c>
      <c r="C37" s="63">
        <f t="shared" ref="C37:H37" si="2">+C36*(1-C12)</f>
        <v>1479412.6406985777</v>
      </c>
      <c r="D37" s="63">
        <f t="shared" si="2"/>
        <v>1717250.3403252768</v>
      </c>
      <c r="E37" s="63">
        <f t="shared" si="2"/>
        <v>2455087.7855863906</v>
      </c>
      <c r="F37" s="63">
        <f t="shared" si="2"/>
        <v>3529569.4369905135</v>
      </c>
      <c r="G37" s="63">
        <f t="shared" si="2"/>
        <v>4194856.9320561122</v>
      </c>
      <c r="H37" s="64">
        <f t="shared" si="2"/>
        <v>6207332.2931271102</v>
      </c>
    </row>
    <row r="39" spans="2:8" x14ac:dyDescent="0.2">
      <c r="B39" s="18" t="s">
        <v>145</v>
      </c>
    </row>
    <row r="40" spans="2:8" x14ac:dyDescent="0.2">
      <c r="B40" s="18" t="s">
        <v>146</v>
      </c>
      <c r="D40" s="65">
        <f>+D35/D33</f>
        <v>0</v>
      </c>
      <c r="E40" s="65">
        <f>+E35/E33</f>
        <v>0</v>
      </c>
      <c r="F40" s="65">
        <f>+F35/F33</f>
        <v>0</v>
      </c>
      <c r="G40" s="65">
        <f>+G35/G33</f>
        <v>0</v>
      </c>
      <c r="H40" s="65">
        <f>+H35/H33</f>
        <v>0</v>
      </c>
    </row>
    <row r="41" spans="2:8" x14ac:dyDescent="0.2">
      <c r="B41" s="18" t="s">
        <v>147</v>
      </c>
      <c r="D41" s="60">
        <f>D8*(1+(1-D9)*D40)</f>
        <v>1.1360128617363343</v>
      </c>
      <c r="E41" s="60">
        <f>E8*(1+(1-E9)*E40)</f>
        <v>1.1360128617363343</v>
      </c>
      <c r="F41" s="60">
        <f>F8*(1+(1-F9)*F40)</f>
        <v>1.1360128617363343</v>
      </c>
      <c r="G41" s="60">
        <f>G8*(1+(1-G9)*G40)</f>
        <v>1.1360128617363343</v>
      </c>
      <c r="H41" s="60">
        <f>H8*(1+(1-H9)*H40)</f>
        <v>1.1360128617363343</v>
      </c>
    </row>
    <row r="42" spans="2:8" x14ac:dyDescent="0.2">
      <c r="B42" s="18" t="s">
        <v>148</v>
      </c>
      <c r="D42" s="66">
        <f>D6+(D7*D41)+D11</f>
        <v>0.12370064308681672</v>
      </c>
      <c r="E42" s="66">
        <f>E6+(E7*E41)+E11</f>
        <v>0.12370064308681672</v>
      </c>
      <c r="F42" s="66">
        <f>F6+(F7*F41)+F11</f>
        <v>0.12370064308681672</v>
      </c>
      <c r="G42" s="66">
        <f>G6+(G7*G41)+G11</f>
        <v>0.12370064308681672</v>
      </c>
      <c r="H42" s="66">
        <f>H6+(H7*H41)+H11</f>
        <v>0.12370064308681672</v>
      </c>
    </row>
    <row r="43" spans="2:8" x14ac:dyDescent="0.2">
      <c r="B43" s="18" t="s">
        <v>149</v>
      </c>
      <c r="D43" s="161">
        <v>0.25</v>
      </c>
      <c r="E43" s="67">
        <f>+D43</f>
        <v>0.25</v>
      </c>
      <c r="F43" s="67">
        <f>+E43</f>
        <v>0.25</v>
      </c>
      <c r="G43" s="67">
        <f>+F43</f>
        <v>0.25</v>
      </c>
      <c r="H43" s="67">
        <f>+G43</f>
        <v>0.25</v>
      </c>
    </row>
    <row r="46" spans="2:8" x14ac:dyDescent="0.2">
      <c r="D46" s="18">
        <f>(D10*(1-D9)*(D35/(D36+D35)))+(D42*(D36/(D36+D35)))</f>
        <v>0.12370064308681672</v>
      </c>
      <c r="E46" s="18">
        <f>(E10*(1-E9)*(E35/(E36+E35)))+(E42*(E36/(E36+E35)))</f>
        <v>0.12370064308681672</v>
      </c>
      <c r="F46" s="18">
        <f>(F10*(1-F9)*(F35/(F36+F35)))+(F42*(F36/(F36+F35)))</f>
        <v>0.12370064308681672</v>
      </c>
      <c r="G46" s="18">
        <f>(G10*(1-G9)*(G35/(G36+G35)))+(G42*(G36/(G36+G35)))</f>
        <v>0.12370064308681672</v>
      </c>
      <c r="H46" s="18">
        <f>(H10*(1-H9)*(H35/(H36+H35)))+(H42*(H36/(H36+H35)))</f>
        <v>0.12370064308681672</v>
      </c>
    </row>
  </sheetData>
  <phoneticPr fontId="12" type="noConversion"/>
  <printOptions horizontalCentered="1" verticalCentered="1"/>
  <pageMargins left="0.78740157480314965" right="0.78740157480314965" top="0.98425196850393704" bottom="0.98425196850393704" header="0" footer="0"/>
  <pageSetup paperSize="9" scale="84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workbookViewId="0">
      <selection activeCell="L41" sqref="L41"/>
    </sheetView>
  </sheetViews>
  <sheetFormatPr baseColWidth="10" defaultRowHeight="12.75" x14ac:dyDescent="0.2"/>
  <cols>
    <col min="1" max="1" width="2.140625" style="2" customWidth="1"/>
    <col min="2" max="2" width="27.85546875" style="2" customWidth="1"/>
    <col min="3" max="16384" width="11.42578125" style="2"/>
  </cols>
  <sheetData>
    <row r="1" spans="1:15" s="1" customFormat="1" x14ac:dyDescent="0.2">
      <c r="A1" s="1" t="s">
        <v>23</v>
      </c>
    </row>
    <row r="2" spans="1:15" x14ac:dyDescent="0.2">
      <c r="A2" s="2" t="s">
        <v>104</v>
      </c>
    </row>
    <row r="3" spans="1:15" x14ac:dyDescent="0.2">
      <c r="D3" s="1" t="str">
        <f>+PyG!D4</f>
        <v>Año 1</v>
      </c>
    </row>
    <row r="4" spans="1:15" s="1" customFormat="1" x14ac:dyDescent="0.2">
      <c r="C4" s="38">
        <f>+Balance!C4</f>
        <v>0</v>
      </c>
      <c r="D4" s="40" t="s">
        <v>82</v>
      </c>
      <c r="E4" s="40" t="s">
        <v>83</v>
      </c>
      <c r="F4" s="40" t="s">
        <v>84</v>
      </c>
      <c r="G4" s="40" t="s">
        <v>85</v>
      </c>
      <c r="H4" s="40" t="s">
        <v>86</v>
      </c>
      <c r="I4" s="40" t="s">
        <v>87</v>
      </c>
      <c r="J4" s="40" t="s">
        <v>88</v>
      </c>
      <c r="K4" s="40" t="s">
        <v>89</v>
      </c>
      <c r="L4" s="40" t="s">
        <v>90</v>
      </c>
      <c r="M4" s="40" t="s">
        <v>91</v>
      </c>
      <c r="N4" s="40" t="s">
        <v>92</v>
      </c>
      <c r="O4" s="40" t="s">
        <v>93</v>
      </c>
    </row>
    <row r="5" spans="1:15" x14ac:dyDescent="0.2">
      <c r="B5" s="2" t="str">
        <f>+Balance!B6</f>
        <v>Inmovilizaciones inmateriales</v>
      </c>
      <c r="C5" s="3">
        <f>+'Balance histórico'!C6</f>
        <v>0</v>
      </c>
      <c r="D5" s="3" t="e">
        <f>+#REF!-#REF!</f>
        <v>#REF!</v>
      </c>
      <c r="E5" s="3" t="e">
        <f>+#REF!-#REF!-#REF!</f>
        <v>#REF!</v>
      </c>
      <c r="F5" s="3" t="e">
        <f>+#REF!-#REF!-#REF!-#REF!</f>
        <v>#REF!</v>
      </c>
      <c r="G5" s="3" t="e">
        <f>+#REF!-#REF!-#REF!-#REF!-#REF!</f>
        <v>#REF!</v>
      </c>
      <c r="H5" s="3" t="e">
        <f>+#REF!-#REF!-#REF!-#REF!-#REF!-#REF!</f>
        <v>#REF!</v>
      </c>
      <c r="I5" s="3" t="e">
        <f>+#REF!-#REF!-#REF!-#REF!-#REF!-#REF!-#REF!</f>
        <v>#REF!</v>
      </c>
      <c r="J5" s="3" t="e">
        <f>+#REF!-#REF!-#REF!-#REF!-#REF!-#REF!-#REF!-#REF!</f>
        <v>#REF!</v>
      </c>
      <c r="K5" s="3" t="e">
        <f>+#REF!-#REF!-#REF!-#REF!-#REF!-#REF!-#REF!-#REF!-#REF!</f>
        <v>#REF!</v>
      </c>
      <c r="L5" s="3" t="e">
        <f>+#REF!-#REF!-#REF!-#REF!-#REF!-#REF!-#REF!-#REF!-#REF!-#REF!</f>
        <v>#REF!</v>
      </c>
      <c r="M5" s="3" t="e">
        <f>+#REF!-#REF!-#REF!-#REF!-#REF!-#REF!-#REF!-#REF!-#REF!-#REF!-#REF!</f>
        <v>#REF!</v>
      </c>
      <c r="N5" s="3" t="e">
        <f>+#REF!-#REF!-#REF!-#REF!-#REF!-#REF!-#REF!-#REF!-#REF!-#REF!-#REF!-#REF!</f>
        <v>#REF!</v>
      </c>
      <c r="O5" s="3" t="e">
        <f>+#REF!-#REF!-#REF!-#REF!-#REF!-#REF!-#REF!-#REF!-#REF!-#REF!-#REF!-#REF!-#REF!</f>
        <v>#REF!</v>
      </c>
    </row>
    <row r="6" spans="1:15" x14ac:dyDescent="0.2">
      <c r="B6" s="2" t="str">
        <f>+Balance!B7</f>
        <v>Inmovilizaciones materiales</v>
      </c>
      <c r="C6" s="3">
        <f>+'Balance histórico'!C7</f>
        <v>0</v>
      </c>
      <c r="D6" s="3" t="e">
        <f>+#REF!-#REF!</f>
        <v>#REF!</v>
      </c>
      <c r="E6" s="3" t="e">
        <f>+#REF!-#REF!-#REF!</f>
        <v>#REF!</v>
      </c>
      <c r="F6" s="3" t="e">
        <f>+#REF!-#REF!-#REF!-#REF!</f>
        <v>#REF!</v>
      </c>
      <c r="G6" s="3" t="e">
        <f>+#REF!-#REF!-#REF!-#REF!-#REF!</f>
        <v>#REF!</v>
      </c>
      <c r="H6" s="3" t="e">
        <f>+#REF!-#REF!-#REF!-#REF!-#REF!-#REF!</f>
        <v>#REF!</v>
      </c>
      <c r="I6" s="3" t="e">
        <f>+#REF!-#REF!-#REF!-#REF!-#REF!-#REF!-#REF!</f>
        <v>#REF!</v>
      </c>
      <c r="J6" s="3" t="e">
        <f>+#REF!-#REF!-#REF!-#REF!-#REF!-#REF!-#REF!-#REF!</f>
        <v>#REF!</v>
      </c>
      <c r="K6" s="3" t="e">
        <f>+#REF!-#REF!-#REF!-#REF!-#REF!-#REF!-#REF!-#REF!-#REF!</f>
        <v>#REF!</v>
      </c>
      <c r="L6" s="3" t="e">
        <f>+#REF!-#REF!-#REF!-#REF!-#REF!-#REF!-#REF!-#REF!-#REF!-#REF!</f>
        <v>#REF!</v>
      </c>
      <c r="M6" s="3" t="e">
        <f>+#REF!-#REF!-#REF!-#REF!-#REF!-#REF!-#REF!-#REF!-#REF!-#REF!-#REF!</f>
        <v>#REF!</v>
      </c>
      <c r="N6" s="3" t="e">
        <f>+#REF!-#REF!-#REF!-#REF!-#REF!-#REF!-#REF!-#REF!-#REF!-#REF!-#REF!-#REF!</f>
        <v>#REF!</v>
      </c>
      <c r="O6" s="3" t="e">
        <f>+#REF!-#REF!-#REF!-#REF!-#REF!-#REF!-#REF!-#REF!-#REF!-#REF!-#REF!-#REF!-#REF!</f>
        <v>#REF!</v>
      </c>
    </row>
    <row r="7" spans="1:15" x14ac:dyDescent="0.2">
      <c r="B7" s="2" t="str">
        <f>+Balance!B8</f>
        <v>Inmovilizaciones financieras</v>
      </c>
      <c r="C7" s="3">
        <f>+'Balance histórico'!C8</f>
        <v>0</v>
      </c>
      <c r="D7" s="3">
        <f>+C7</f>
        <v>0</v>
      </c>
      <c r="E7" s="3">
        <f t="shared" ref="E7:O7" si="0">+D7</f>
        <v>0</v>
      </c>
      <c r="F7" s="3">
        <f t="shared" si="0"/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  <c r="J7" s="3">
        <f t="shared" si="0"/>
        <v>0</v>
      </c>
      <c r="K7" s="3">
        <f t="shared" si="0"/>
        <v>0</v>
      </c>
      <c r="L7" s="3">
        <f t="shared" si="0"/>
        <v>0</v>
      </c>
      <c r="M7" s="3">
        <f t="shared" si="0"/>
        <v>0</v>
      </c>
      <c r="N7" s="3">
        <f t="shared" si="0"/>
        <v>0</v>
      </c>
      <c r="O7" s="3">
        <f t="shared" si="0"/>
        <v>0</v>
      </c>
    </row>
    <row r="8" spans="1:15" s="7" customFormat="1" x14ac:dyDescent="0.2">
      <c r="B8" s="7" t="s">
        <v>51</v>
      </c>
      <c r="C8" s="8">
        <f>SUM(C5:C7)</f>
        <v>0</v>
      </c>
      <c r="D8" s="8" t="e">
        <f t="shared" ref="D8:O8" si="1">SUM(D5:D7)</f>
        <v>#REF!</v>
      </c>
      <c r="E8" s="8" t="e">
        <f t="shared" si="1"/>
        <v>#REF!</v>
      </c>
      <c r="F8" s="8" t="e">
        <f t="shared" si="1"/>
        <v>#REF!</v>
      </c>
      <c r="G8" s="8" t="e">
        <f t="shared" si="1"/>
        <v>#REF!</v>
      </c>
      <c r="H8" s="8" t="e">
        <f t="shared" si="1"/>
        <v>#REF!</v>
      </c>
      <c r="I8" s="8" t="e">
        <f t="shared" si="1"/>
        <v>#REF!</v>
      </c>
      <c r="J8" s="8" t="e">
        <f t="shared" si="1"/>
        <v>#REF!</v>
      </c>
      <c r="K8" s="8" t="e">
        <f t="shared" si="1"/>
        <v>#REF!</v>
      </c>
      <c r="L8" s="8" t="e">
        <f t="shared" si="1"/>
        <v>#REF!</v>
      </c>
      <c r="M8" s="8" t="e">
        <f t="shared" si="1"/>
        <v>#REF!</v>
      </c>
      <c r="N8" s="8" t="e">
        <f t="shared" si="1"/>
        <v>#REF!</v>
      </c>
      <c r="O8" s="8" t="e">
        <f t="shared" si="1"/>
        <v>#REF!</v>
      </c>
    </row>
    <row r="9" spans="1:15" s="7" customFormat="1" x14ac:dyDescent="0.2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s="7" customFormat="1" x14ac:dyDescent="0.2">
      <c r="B10" s="2" t="str">
        <f>+Balance!B12</f>
        <v>Gastos a distribuir en varios ejercicios</v>
      </c>
      <c r="C10" s="3">
        <f>+'Balance histórico'!C12</f>
        <v>0</v>
      </c>
      <c r="D10" s="8">
        <f>+C10</f>
        <v>0</v>
      </c>
      <c r="E10" s="8">
        <f t="shared" ref="E10:O10" si="2">+D10</f>
        <v>0</v>
      </c>
      <c r="F10" s="8">
        <f t="shared" si="2"/>
        <v>0</v>
      </c>
      <c r="G10" s="8">
        <f t="shared" si="2"/>
        <v>0</v>
      </c>
      <c r="H10" s="8">
        <f t="shared" si="2"/>
        <v>0</v>
      </c>
      <c r="I10" s="8">
        <f t="shared" si="2"/>
        <v>0</v>
      </c>
      <c r="J10" s="8">
        <f t="shared" si="2"/>
        <v>0</v>
      </c>
      <c r="K10" s="8">
        <f t="shared" si="2"/>
        <v>0</v>
      </c>
      <c r="L10" s="8">
        <f t="shared" si="2"/>
        <v>0</v>
      </c>
      <c r="M10" s="8">
        <f t="shared" si="2"/>
        <v>0</v>
      </c>
      <c r="N10" s="8">
        <f t="shared" si="2"/>
        <v>0</v>
      </c>
      <c r="O10" s="8">
        <f t="shared" si="2"/>
        <v>0</v>
      </c>
    </row>
    <row r="11" spans="1:15" x14ac:dyDescent="0.2">
      <c r="C11" s="3"/>
      <c r="D11" s="3"/>
    </row>
    <row r="12" spans="1:15" x14ac:dyDescent="0.2">
      <c r="B12" s="2" t="str">
        <f>+Balance!B14</f>
        <v>Existencias</v>
      </c>
      <c r="C12" s="3">
        <f>+'Balance histórico'!C14</f>
        <v>0</v>
      </c>
      <c r="D12" s="3" t="e">
        <f>+#REF!+#REF!</f>
        <v>#REF!</v>
      </c>
      <c r="E12" s="3" t="e">
        <f>+D12+#REF!</f>
        <v>#REF!</v>
      </c>
      <c r="F12" s="3" t="e">
        <f>+E12+#REF!</f>
        <v>#REF!</v>
      </c>
      <c r="G12" s="3" t="e">
        <f>+F12+#REF!</f>
        <v>#REF!</v>
      </c>
      <c r="H12" s="3" t="e">
        <f>+G12+#REF!</f>
        <v>#REF!</v>
      </c>
      <c r="I12" s="3" t="e">
        <f>+H12+#REF!</f>
        <v>#REF!</v>
      </c>
      <c r="J12" s="3" t="e">
        <f>+I12+#REF!</f>
        <v>#REF!</v>
      </c>
      <c r="K12" s="3" t="e">
        <f>+J12+#REF!</f>
        <v>#REF!</v>
      </c>
      <c r="L12" s="3" t="e">
        <f>+K12+#REF!</f>
        <v>#REF!</v>
      </c>
      <c r="M12" s="3" t="e">
        <f>+L12+#REF!</f>
        <v>#REF!</v>
      </c>
      <c r="N12" s="3" t="e">
        <f>+M12+#REF!</f>
        <v>#REF!</v>
      </c>
      <c r="O12" s="3" t="e">
        <f>+N12+#REF!</f>
        <v>#REF!</v>
      </c>
    </row>
    <row r="13" spans="1:15" x14ac:dyDescent="0.2">
      <c r="B13" s="2" t="str">
        <f>+Balance!B15</f>
        <v>Clientes nacionales</v>
      </c>
      <c r="C13" s="3">
        <f>+'Balance histórico'!C15</f>
        <v>0</v>
      </c>
      <c r="D13" s="3" t="e">
        <f>+#REF!+#REF!</f>
        <v>#REF!</v>
      </c>
      <c r="E13" s="3" t="e">
        <f>+D13+#REF!</f>
        <v>#REF!</v>
      </c>
      <c r="F13" s="3" t="e">
        <f>+E13+#REF!</f>
        <v>#REF!</v>
      </c>
      <c r="G13" s="3" t="e">
        <f>+F13+#REF!</f>
        <v>#REF!</v>
      </c>
      <c r="H13" s="3" t="e">
        <f>+G13+#REF!</f>
        <v>#REF!</v>
      </c>
      <c r="I13" s="3" t="e">
        <f>+H13+#REF!</f>
        <v>#REF!</v>
      </c>
      <c r="J13" s="3" t="e">
        <f>+I13+#REF!</f>
        <v>#REF!</v>
      </c>
      <c r="K13" s="3" t="e">
        <f>+J13+#REF!</f>
        <v>#REF!</v>
      </c>
      <c r="L13" s="3" t="e">
        <f>+K13+#REF!</f>
        <v>#REF!</v>
      </c>
      <c r="M13" s="3" t="e">
        <f>+L13+#REF!</f>
        <v>#REF!</v>
      </c>
      <c r="N13" s="3" t="e">
        <f>+M13+#REF!</f>
        <v>#REF!</v>
      </c>
      <c r="O13" s="3" t="e">
        <f>+N13+#REF!</f>
        <v>#REF!</v>
      </c>
    </row>
    <row r="14" spans="1:15" x14ac:dyDescent="0.2">
      <c r="B14" s="2" t="str">
        <f>+Balance!B18</f>
        <v>Tesorería</v>
      </c>
      <c r="C14" s="3">
        <f>+'Balance histórico'!C18</f>
        <v>0</v>
      </c>
      <c r="D14" s="3" t="e">
        <f>+#REF!</f>
        <v>#REF!</v>
      </c>
      <c r="E14" s="3" t="e">
        <f>+#REF!</f>
        <v>#REF!</v>
      </c>
      <c r="F14" s="3" t="e">
        <f>+#REF!</f>
        <v>#REF!</v>
      </c>
      <c r="G14" s="3" t="e">
        <f>+#REF!</f>
        <v>#REF!</v>
      </c>
      <c r="H14" s="3" t="e">
        <f>+#REF!</f>
        <v>#REF!</v>
      </c>
      <c r="I14" s="3" t="e">
        <f>+#REF!</f>
        <v>#REF!</v>
      </c>
      <c r="J14" s="3" t="e">
        <f>+#REF!</f>
        <v>#REF!</v>
      </c>
      <c r="K14" s="3" t="e">
        <f>+#REF!</f>
        <v>#REF!</v>
      </c>
      <c r="L14" s="3" t="e">
        <f>+#REF!</f>
        <v>#REF!</v>
      </c>
      <c r="M14" s="3" t="e">
        <f>+#REF!</f>
        <v>#REF!</v>
      </c>
      <c r="N14" s="3" t="e">
        <f>+#REF!</f>
        <v>#REF!</v>
      </c>
      <c r="O14" s="3" t="e">
        <f>+#REF!</f>
        <v>#REF!</v>
      </c>
    </row>
    <row r="15" spans="1:15" s="7" customFormat="1" x14ac:dyDescent="0.2">
      <c r="B15" s="7" t="s">
        <v>54</v>
      </c>
      <c r="C15" s="8">
        <f>SUM(C12:C14)</f>
        <v>0</v>
      </c>
      <c r="D15" s="8" t="e">
        <f t="shared" ref="D15:O15" si="3">SUM(D12:D14)</f>
        <v>#REF!</v>
      </c>
      <c r="E15" s="8" t="e">
        <f t="shared" si="3"/>
        <v>#REF!</v>
      </c>
      <c r="F15" s="8" t="e">
        <f t="shared" si="3"/>
        <v>#REF!</v>
      </c>
      <c r="G15" s="8" t="e">
        <f t="shared" si="3"/>
        <v>#REF!</v>
      </c>
      <c r="H15" s="8" t="e">
        <f t="shared" si="3"/>
        <v>#REF!</v>
      </c>
      <c r="I15" s="8" t="e">
        <f t="shared" si="3"/>
        <v>#REF!</v>
      </c>
      <c r="J15" s="8" t="e">
        <f t="shared" si="3"/>
        <v>#REF!</v>
      </c>
      <c r="K15" s="8" t="e">
        <f t="shared" si="3"/>
        <v>#REF!</v>
      </c>
      <c r="L15" s="8" t="e">
        <f t="shared" si="3"/>
        <v>#REF!</v>
      </c>
      <c r="M15" s="8" t="e">
        <f t="shared" si="3"/>
        <v>#REF!</v>
      </c>
      <c r="N15" s="8" t="e">
        <f t="shared" si="3"/>
        <v>#REF!</v>
      </c>
      <c r="O15" s="8" t="e">
        <f t="shared" si="3"/>
        <v>#REF!</v>
      </c>
    </row>
    <row r="16" spans="1:15" x14ac:dyDescent="0.2">
      <c r="C16" s="3"/>
      <c r="D16" s="3"/>
    </row>
    <row r="17" spans="2:15" s="1" customFormat="1" x14ac:dyDescent="0.2">
      <c r="B17" s="1" t="s">
        <v>55</v>
      </c>
      <c r="C17" s="6">
        <f>+C8+C10+C15</f>
        <v>0</v>
      </c>
      <c r="D17" s="6" t="e">
        <f>+D8+D10+D15</f>
        <v>#REF!</v>
      </c>
      <c r="E17" s="6" t="e">
        <f t="shared" ref="E17:O17" si="4">+E8+E10+E15</f>
        <v>#REF!</v>
      </c>
      <c r="F17" s="6" t="e">
        <f t="shared" si="4"/>
        <v>#REF!</v>
      </c>
      <c r="G17" s="6" t="e">
        <f t="shared" si="4"/>
        <v>#REF!</v>
      </c>
      <c r="H17" s="6" t="e">
        <f t="shared" si="4"/>
        <v>#REF!</v>
      </c>
      <c r="I17" s="6" t="e">
        <f t="shared" si="4"/>
        <v>#REF!</v>
      </c>
      <c r="J17" s="6" t="e">
        <f t="shared" si="4"/>
        <v>#REF!</v>
      </c>
      <c r="K17" s="6" t="e">
        <f t="shared" si="4"/>
        <v>#REF!</v>
      </c>
      <c r="L17" s="6" t="e">
        <f t="shared" si="4"/>
        <v>#REF!</v>
      </c>
      <c r="M17" s="6" t="e">
        <f t="shared" si="4"/>
        <v>#REF!</v>
      </c>
      <c r="N17" s="6" t="e">
        <f t="shared" si="4"/>
        <v>#REF!</v>
      </c>
      <c r="O17" s="6" t="e">
        <f t="shared" si="4"/>
        <v>#REF!</v>
      </c>
    </row>
    <row r="18" spans="2:15" x14ac:dyDescent="0.2">
      <c r="C18" s="3"/>
      <c r="D18" s="3"/>
    </row>
    <row r="19" spans="2:15" x14ac:dyDescent="0.2">
      <c r="C19" s="3"/>
      <c r="D19" s="3"/>
    </row>
    <row r="21" spans="2:15" x14ac:dyDescent="0.2">
      <c r="B21" s="2" t="s">
        <v>56</v>
      </c>
      <c r="C21" s="3">
        <f>+'Balance histórico'!C25</f>
        <v>0</v>
      </c>
      <c r="D21" s="3">
        <f>+C21</f>
        <v>0</v>
      </c>
      <c r="E21" s="3">
        <f t="shared" ref="E21:O21" si="5">+D21</f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</row>
    <row r="22" spans="2:15" x14ac:dyDescent="0.2">
      <c r="B22" s="2" t="s">
        <v>57</v>
      </c>
      <c r="C22" s="3">
        <f>+'Balance histórico'!C26</f>
        <v>0</v>
      </c>
      <c r="D22" s="3">
        <f>+C22</f>
        <v>0</v>
      </c>
      <c r="E22" s="3">
        <f t="shared" ref="E22:O22" si="6">+D22</f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</row>
    <row r="23" spans="2:15" x14ac:dyDescent="0.2">
      <c r="B23" s="2" t="s">
        <v>58</v>
      </c>
      <c r="C23" s="3">
        <f>+'Balance histórico'!C27</f>
        <v>0</v>
      </c>
      <c r="D23" s="3">
        <f t="shared" ref="D23:N23" si="7">+$C$24</f>
        <v>0</v>
      </c>
      <c r="E23" s="3">
        <f t="shared" si="7"/>
        <v>0</v>
      </c>
      <c r="F23" s="3">
        <f t="shared" si="7"/>
        <v>0</v>
      </c>
      <c r="G23" s="3">
        <f t="shared" si="7"/>
        <v>0</v>
      </c>
      <c r="H23" s="3">
        <f t="shared" si="7"/>
        <v>0</v>
      </c>
      <c r="I23" s="3">
        <f t="shared" si="7"/>
        <v>0</v>
      </c>
      <c r="J23" s="3">
        <f t="shared" si="7"/>
        <v>0</v>
      </c>
      <c r="K23" s="3">
        <f t="shared" si="7"/>
        <v>0</v>
      </c>
      <c r="L23" s="3">
        <f t="shared" si="7"/>
        <v>0</v>
      </c>
      <c r="M23" s="3">
        <f t="shared" si="7"/>
        <v>0</v>
      </c>
      <c r="N23" s="3">
        <f t="shared" si="7"/>
        <v>0</v>
      </c>
      <c r="O23" s="3">
        <f>+$C$24</f>
        <v>0</v>
      </c>
    </row>
    <row r="24" spans="2:15" x14ac:dyDescent="0.2">
      <c r="B24" s="2" t="s">
        <v>9</v>
      </c>
      <c r="C24" s="3">
        <f>+'Balance histórico'!C28</f>
        <v>0</v>
      </c>
      <c r="D24" s="3" t="e">
        <f>+#REF!</f>
        <v>#REF!</v>
      </c>
      <c r="E24" s="3" t="e">
        <f>+D24+#REF!</f>
        <v>#REF!</v>
      </c>
      <c r="F24" s="3" t="e">
        <f>+E24+#REF!</f>
        <v>#REF!</v>
      </c>
      <c r="G24" s="3" t="e">
        <f>+F24+#REF!</f>
        <v>#REF!</v>
      </c>
      <c r="H24" s="3" t="e">
        <f>+G24+#REF!</f>
        <v>#REF!</v>
      </c>
      <c r="I24" s="3" t="e">
        <f>+H24+#REF!</f>
        <v>#REF!</v>
      </c>
      <c r="J24" s="3" t="e">
        <f>+I24+#REF!</f>
        <v>#REF!</v>
      </c>
      <c r="K24" s="3" t="e">
        <f>+J24+#REF!</f>
        <v>#REF!</v>
      </c>
      <c r="L24" s="3" t="e">
        <f>+K24+#REF!</f>
        <v>#REF!</v>
      </c>
      <c r="M24" s="3" t="e">
        <f>+L24+#REF!</f>
        <v>#REF!</v>
      </c>
      <c r="N24" s="3" t="e">
        <f>+M24+#REF!</f>
        <v>#REF!</v>
      </c>
      <c r="O24" s="3" t="e">
        <f>+N24+#REF!</f>
        <v>#REF!</v>
      </c>
    </row>
    <row r="25" spans="2:15" s="7" customFormat="1" x14ac:dyDescent="0.2">
      <c r="B25" s="7" t="s">
        <v>59</v>
      </c>
      <c r="C25" s="8">
        <f>SUM(C21:C24)</f>
        <v>0</v>
      </c>
      <c r="D25" s="8" t="e">
        <f>SUM(D21:D24)</f>
        <v>#REF!</v>
      </c>
      <c r="E25" s="8" t="e">
        <f t="shared" ref="E25:O25" si="8">SUM(E21:E24)</f>
        <v>#REF!</v>
      </c>
      <c r="F25" s="8" t="e">
        <f t="shared" si="8"/>
        <v>#REF!</v>
      </c>
      <c r="G25" s="8" t="e">
        <f t="shared" si="8"/>
        <v>#REF!</v>
      </c>
      <c r="H25" s="8" t="e">
        <f t="shared" si="8"/>
        <v>#REF!</v>
      </c>
      <c r="I25" s="8" t="e">
        <f t="shared" si="8"/>
        <v>#REF!</v>
      </c>
      <c r="J25" s="8" t="e">
        <f t="shared" si="8"/>
        <v>#REF!</v>
      </c>
      <c r="K25" s="8" t="e">
        <f t="shared" si="8"/>
        <v>#REF!</v>
      </c>
      <c r="L25" s="8" t="e">
        <f t="shared" si="8"/>
        <v>#REF!</v>
      </c>
      <c r="M25" s="8" t="e">
        <f t="shared" si="8"/>
        <v>#REF!</v>
      </c>
      <c r="N25" s="8" t="e">
        <f t="shared" si="8"/>
        <v>#REF!</v>
      </c>
      <c r="O25" s="8" t="e">
        <f t="shared" si="8"/>
        <v>#REF!</v>
      </c>
    </row>
    <row r="26" spans="2:15" x14ac:dyDescent="0.2">
      <c r="C26" s="3"/>
      <c r="D26" s="3"/>
    </row>
    <row r="27" spans="2:15" s="7" customFormat="1" x14ac:dyDescent="0.2">
      <c r="B27" s="7" t="s">
        <v>60</v>
      </c>
      <c r="C27" s="3">
        <f>+'Balance histórico'!C31</f>
        <v>0</v>
      </c>
      <c r="D27" s="8" t="e">
        <f>+C27-#REF!</f>
        <v>#REF!</v>
      </c>
      <c r="E27" s="8" t="e">
        <f>+D27-#REF!</f>
        <v>#REF!</v>
      </c>
      <c r="F27" s="8" t="e">
        <f>+E27-#REF!</f>
        <v>#REF!</v>
      </c>
      <c r="G27" s="8" t="e">
        <f>+F27-#REF!</f>
        <v>#REF!</v>
      </c>
      <c r="H27" s="8" t="e">
        <f>+G27-#REF!</f>
        <v>#REF!</v>
      </c>
      <c r="I27" s="8" t="e">
        <f>+H27-#REF!</f>
        <v>#REF!</v>
      </c>
      <c r="J27" s="8" t="e">
        <f>+I27-#REF!</f>
        <v>#REF!</v>
      </c>
      <c r="K27" s="8" t="e">
        <f>+J27-#REF!</f>
        <v>#REF!</v>
      </c>
      <c r="L27" s="8" t="e">
        <f>+K27-#REF!</f>
        <v>#REF!</v>
      </c>
      <c r="M27" s="8" t="e">
        <f>+L27-#REF!</f>
        <v>#REF!</v>
      </c>
      <c r="N27" s="8" t="e">
        <f>+M27-#REF!</f>
        <v>#REF!</v>
      </c>
      <c r="O27" s="8" t="e">
        <f>+N27-#REF!</f>
        <v>#REF!</v>
      </c>
    </row>
    <row r="28" spans="2:15" x14ac:dyDescent="0.2">
      <c r="C28" s="3"/>
      <c r="D28" s="3"/>
    </row>
    <row r="29" spans="2:15" x14ac:dyDescent="0.2">
      <c r="B29" s="9" t="str">
        <f>+'Balance histórico'!B34</f>
        <v>Proveedores</v>
      </c>
      <c r="C29" s="3">
        <f>+'Balance histórico'!C34</f>
        <v>0</v>
      </c>
      <c r="D29" s="3" t="e">
        <f>+C29+#REF!</f>
        <v>#REF!</v>
      </c>
      <c r="E29" s="3" t="e">
        <f>+D29+#REF!</f>
        <v>#REF!</v>
      </c>
      <c r="F29" s="3" t="e">
        <f>+E29+#REF!</f>
        <v>#REF!</v>
      </c>
      <c r="G29" s="3" t="e">
        <f>+F29+#REF!</f>
        <v>#REF!</v>
      </c>
      <c r="H29" s="3" t="e">
        <f>+G29+#REF!</f>
        <v>#REF!</v>
      </c>
      <c r="I29" s="3" t="e">
        <f>+H29+#REF!</f>
        <v>#REF!</v>
      </c>
      <c r="J29" s="3" t="e">
        <f>+I29+#REF!</f>
        <v>#REF!</v>
      </c>
      <c r="K29" s="3" t="e">
        <f>+J29+#REF!</f>
        <v>#REF!</v>
      </c>
      <c r="L29" s="3" t="e">
        <f>+K29+#REF!</f>
        <v>#REF!</v>
      </c>
      <c r="M29" s="3" t="e">
        <f>+L29+#REF!</f>
        <v>#REF!</v>
      </c>
      <c r="N29" s="3" t="e">
        <f>+M29+#REF!</f>
        <v>#REF!</v>
      </c>
      <c r="O29" s="3" t="e">
        <f>+N29+#REF!</f>
        <v>#REF!</v>
      </c>
    </row>
    <row r="30" spans="2:15" x14ac:dyDescent="0.2">
      <c r="B30" s="9" t="str">
        <f>+'Balance histórico'!B36</f>
        <v>Remuneraciones pendientes</v>
      </c>
      <c r="C30" s="3">
        <f>+'Balance histórico'!C36</f>
        <v>0</v>
      </c>
      <c r="D30" s="3" t="e">
        <f>+C30-#REF!</f>
        <v>#REF!</v>
      </c>
      <c r="E30" s="3" t="e">
        <f>+D30-#REF!</f>
        <v>#REF!</v>
      </c>
      <c r="F30" s="3" t="e">
        <f>+E30-#REF!</f>
        <v>#REF!</v>
      </c>
      <c r="G30" s="3" t="e">
        <f>+F30-#REF!</f>
        <v>#REF!</v>
      </c>
      <c r="H30" s="3" t="e">
        <f>+G30-#REF!</f>
        <v>#REF!</v>
      </c>
      <c r="I30" s="3" t="e">
        <f>+H30-#REF!</f>
        <v>#REF!</v>
      </c>
      <c r="J30" s="3" t="e">
        <f>+I30-#REF!</f>
        <v>#REF!</v>
      </c>
      <c r="K30" s="3" t="e">
        <f>+J30-#REF!</f>
        <v>#REF!</v>
      </c>
      <c r="L30" s="3" t="e">
        <f>+K30-#REF!</f>
        <v>#REF!</v>
      </c>
      <c r="M30" s="3" t="e">
        <f>+L30-#REF!</f>
        <v>#REF!</v>
      </c>
      <c r="N30" s="3" t="e">
        <f>+M30-#REF!</f>
        <v>#REF!</v>
      </c>
      <c r="O30" s="3" t="e">
        <f>+N30-#REF!</f>
        <v>#REF!</v>
      </c>
    </row>
    <row r="31" spans="2:15" x14ac:dyDescent="0.2">
      <c r="B31" s="9" t="str">
        <f>+'Balance histórico'!B37</f>
        <v>HP acreedora</v>
      </c>
      <c r="C31" s="3">
        <f>+'Balance histórico'!C37</f>
        <v>0</v>
      </c>
      <c r="D31" s="3" t="e">
        <f>+#REF!</f>
        <v>#REF!</v>
      </c>
      <c r="E31" s="3" t="e">
        <f>+D31+#REF!</f>
        <v>#REF!</v>
      </c>
      <c r="F31" s="3" t="e">
        <f>+E31+#REF!</f>
        <v>#REF!</v>
      </c>
      <c r="G31" s="3" t="e">
        <f>+F31+#REF!</f>
        <v>#REF!</v>
      </c>
      <c r="H31" s="3" t="e">
        <f>+G31+#REF!</f>
        <v>#REF!</v>
      </c>
      <c r="I31" s="3" t="e">
        <f>+H31+#REF!</f>
        <v>#REF!</v>
      </c>
      <c r="J31" s="3" t="e">
        <f>+I31+#REF!</f>
        <v>#REF!</v>
      </c>
      <c r="K31" s="3" t="e">
        <f>+J31+#REF!</f>
        <v>#REF!</v>
      </c>
      <c r="L31" s="3" t="e">
        <f>+K31+#REF!</f>
        <v>#REF!</v>
      </c>
      <c r="M31" s="3" t="e">
        <f>+L31+#REF!</f>
        <v>#REF!</v>
      </c>
      <c r="N31" s="3" t="e">
        <f>+M31+#REF!</f>
        <v>#REF!</v>
      </c>
      <c r="O31" s="3" t="e">
        <f>+N31+#REF!</f>
        <v>#REF!</v>
      </c>
    </row>
    <row r="32" spans="2:15" x14ac:dyDescent="0.2">
      <c r="B32" s="9" t="str">
        <f>+'Balance histórico'!B38</f>
        <v>Seguridad social</v>
      </c>
      <c r="C32" s="3">
        <f>+'Balance histórico'!C38</f>
        <v>0</v>
      </c>
      <c r="D32" s="3" t="e">
        <f>+C32+#REF!</f>
        <v>#REF!</v>
      </c>
      <c r="E32" s="3" t="e">
        <f>+D32+#REF!</f>
        <v>#REF!</v>
      </c>
      <c r="F32" s="3" t="e">
        <f>+E32+#REF!</f>
        <v>#REF!</v>
      </c>
      <c r="G32" s="3" t="e">
        <f>+F32+#REF!</f>
        <v>#REF!</v>
      </c>
      <c r="H32" s="3" t="e">
        <f>+G32+#REF!</f>
        <v>#REF!</v>
      </c>
      <c r="I32" s="3" t="e">
        <f>+H32+#REF!</f>
        <v>#REF!</v>
      </c>
      <c r="J32" s="3" t="e">
        <f>+I32+#REF!</f>
        <v>#REF!</v>
      </c>
      <c r="K32" s="3" t="e">
        <f>+J32+#REF!</f>
        <v>#REF!</v>
      </c>
      <c r="L32" s="3" t="e">
        <f>+K32+#REF!</f>
        <v>#REF!</v>
      </c>
      <c r="M32" s="3" t="e">
        <f>+L32+#REF!</f>
        <v>#REF!</v>
      </c>
      <c r="N32" s="3" t="e">
        <f>+M32+#REF!</f>
        <v>#REF!</v>
      </c>
      <c r="O32" s="3" t="e">
        <f>+N32+#REF!</f>
        <v>#REF!</v>
      </c>
    </row>
    <row r="33" spans="2:15" x14ac:dyDescent="0.2">
      <c r="B33" s="9" t="e">
        <f>+'Balance histórico'!#REF!</f>
        <v>#REF!</v>
      </c>
      <c r="C33" s="3" t="e">
        <f>+'Balance histórico'!#REF!</f>
        <v>#REF!</v>
      </c>
      <c r="D33" s="3" t="e">
        <f>+C33-#REF!+#REF!</f>
        <v>#REF!</v>
      </c>
      <c r="E33" s="3" t="e">
        <f>+D33-#REF!+#REF!</f>
        <v>#REF!</v>
      </c>
      <c r="F33" s="3" t="e">
        <f>+E33-#REF!+#REF!</f>
        <v>#REF!</v>
      </c>
      <c r="G33" s="3" t="e">
        <f>+F33-#REF!+#REF!</f>
        <v>#REF!</v>
      </c>
      <c r="H33" s="3" t="e">
        <f>+G33-#REF!+#REF!</f>
        <v>#REF!</v>
      </c>
      <c r="I33" s="3" t="e">
        <f>+H33-#REF!+#REF!</f>
        <v>#REF!</v>
      </c>
      <c r="J33" s="3" t="e">
        <f>+I33-#REF!+#REF!</f>
        <v>#REF!</v>
      </c>
      <c r="K33" s="3" t="e">
        <f>+J33-#REF!+#REF!</f>
        <v>#REF!</v>
      </c>
      <c r="L33" s="3" t="e">
        <f>+K33-#REF!+#REF!</f>
        <v>#REF!</v>
      </c>
      <c r="M33" s="3" t="e">
        <f>+L33-#REF!+#REF!</f>
        <v>#REF!</v>
      </c>
      <c r="N33" s="3" t="e">
        <f>+M33-#REF!+#REF!</f>
        <v>#REF!</v>
      </c>
      <c r="O33" s="3" t="e">
        <f>+N33-#REF!+#REF!</f>
        <v>#REF!</v>
      </c>
    </row>
    <row r="34" spans="2:15" x14ac:dyDescent="0.2">
      <c r="B34" s="9" t="e">
        <f>+'Balance histórico'!#REF!</f>
        <v>#REF!</v>
      </c>
      <c r="C34" s="3" t="e">
        <f>+'Balance histórico'!#REF!</f>
        <v>#REF!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</row>
    <row r="35" spans="2:15" s="7" customFormat="1" x14ac:dyDescent="0.2">
      <c r="B35" s="7" t="s">
        <v>62</v>
      </c>
      <c r="C35" s="8" t="e">
        <f>SUM(C29:C34)</f>
        <v>#REF!</v>
      </c>
      <c r="D35" s="8" t="e">
        <f>SUM(D29:D34)</f>
        <v>#REF!</v>
      </c>
      <c r="E35" s="8" t="e">
        <f t="shared" ref="E35:O35" si="9">SUM(E29:E34)</f>
        <v>#REF!</v>
      </c>
      <c r="F35" s="8" t="e">
        <f t="shared" si="9"/>
        <v>#REF!</v>
      </c>
      <c r="G35" s="8" t="e">
        <f t="shared" si="9"/>
        <v>#REF!</v>
      </c>
      <c r="H35" s="8" t="e">
        <f t="shared" si="9"/>
        <v>#REF!</v>
      </c>
      <c r="I35" s="8" t="e">
        <f t="shared" si="9"/>
        <v>#REF!</v>
      </c>
      <c r="J35" s="8" t="e">
        <f t="shared" si="9"/>
        <v>#REF!</v>
      </c>
      <c r="K35" s="8" t="e">
        <f t="shared" si="9"/>
        <v>#REF!</v>
      </c>
      <c r="L35" s="8" t="e">
        <f t="shared" si="9"/>
        <v>#REF!</v>
      </c>
      <c r="M35" s="8" t="e">
        <f t="shared" si="9"/>
        <v>#REF!</v>
      </c>
      <c r="N35" s="8" t="e">
        <f t="shared" si="9"/>
        <v>#REF!</v>
      </c>
      <c r="O35" s="8" t="e">
        <f t="shared" si="9"/>
        <v>#REF!</v>
      </c>
    </row>
    <row r="36" spans="2:15" x14ac:dyDescent="0.2">
      <c r="C36" s="3"/>
      <c r="D36" s="3"/>
    </row>
    <row r="37" spans="2:15" s="1" customFormat="1" x14ac:dyDescent="0.2">
      <c r="B37" s="1" t="s">
        <v>61</v>
      </c>
      <c r="C37" s="6" t="e">
        <f>+C25+C27+C35</f>
        <v>#REF!</v>
      </c>
      <c r="D37" s="6" t="e">
        <f>+D25+D27+D35</f>
        <v>#REF!</v>
      </c>
      <c r="E37" s="6" t="e">
        <f t="shared" ref="E37:N37" si="10">+E25+E27+E35</f>
        <v>#REF!</v>
      </c>
      <c r="F37" s="6" t="e">
        <f t="shared" si="10"/>
        <v>#REF!</v>
      </c>
      <c r="G37" s="6" t="e">
        <f t="shared" si="10"/>
        <v>#REF!</v>
      </c>
      <c r="H37" s="6" t="e">
        <f t="shared" si="10"/>
        <v>#REF!</v>
      </c>
      <c r="I37" s="6" t="e">
        <f t="shared" si="10"/>
        <v>#REF!</v>
      </c>
      <c r="J37" s="6" t="e">
        <f t="shared" si="10"/>
        <v>#REF!</v>
      </c>
      <c r="K37" s="6" t="e">
        <f t="shared" si="10"/>
        <v>#REF!</v>
      </c>
      <c r="L37" s="6" t="e">
        <f t="shared" si="10"/>
        <v>#REF!</v>
      </c>
      <c r="M37" s="6" t="e">
        <f t="shared" si="10"/>
        <v>#REF!</v>
      </c>
      <c r="N37" s="6" t="e">
        <f t="shared" si="10"/>
        <v>#REF!</v>
      </c>
      <c r="O37" s="6" t="e">
        <f>+O25+O27+O35</f>
        <v>#REF!</v>
      </c>
    </row>
    <row r="38" spans="2:15" x14ac:dyDescent="0.2">
      <c r="O38" s="3"/>
    </row>
  </sheetData>
  <phoneticPr fontId="0" type="noConversion"/>
  <printOptions horizontalCentered="1" verticalCentered="1"/>
  <pageMargins left="0.78740157480314965" right="0.78740157480314965" top="0.98425196850393704" bottom="0.98425196850393704" header="0" footer="0"/>
  <pageSetup paperSize="9" scale="73" orientation="landscape" r:id="rId1"/>
  <headerFooter alignWithMargins="0">
    <oddHeader>&amp;LModelo financiero preparado por: Roster Asesores (GMAE Transforma, S.L.) - info@roster.es</oddHeader>
    <oddFooter>&amp;R&amp;A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zoomScale="85" workbookViewId="0">
      <selection activeCell="J40" sqref="J40"/>
    </sheetView>
  </sheetViews>
  <sheetFormatPr baseColWidth="10" defaultRowHeight="12.75" x14ac:dyDescent="0.2"/>
  <cols>
    <col min="1" max="1" width="2.140625" style="2" customWidth="1"/>
    <col min="2" max="2" width="33" style="2" bestFit="1" customWidth="1"/>
    <col min="3" max="16384" width="11.42578125" style="2"/>
  </cols>
  <sheetData>
    <row r="1" spans="1:4" s="1" customFormat="1" x14ac:dyDescent="0.2">
      <c r="A1" s="1" t="s">
        <v>23</v>
      </c>
    </row>
    <row r="2" spans="1:4" x14ac:dyDescent="0.2">
      <c r="A2" s="2" t="s">
        <v>104</v>
      </c>
    </row>
    <row r="3" spans="1:4" x14ac:dyDescent="0.2">
      <c r="C3" s="4"/>
    </row>
    <row r="4" spans="1:4" s="1" customFormat="1" x14ac:dyDescent="0.2">
      <c r="C4" s="38"/>
      <c r="D4" s="38"/>
    </row>
    <row r="5" spans="1:4" s="1" customFormat="1" x14ac:dyDescent="0.2">
      <c r="B5" s="9" t="s">
        <v>202</v>
      </c>
      <c r="C5" s="3"/>
      <c r="D5" s="3"/>
    </row>
    <row r="6" spans="1:4" s="9" customFormat="1" x14ac:dyDescent="0.2">
      <c r="B6" s="9" t="s">
        <v>101</v>
      </c>
      <c r="C6" s="3"/>
      <c r="D6" s="3"/>
    </row>
    <row r="7" spans="1:4" x14ac:dyDescent="0.2">
      <c r="B7" s="2" t="s">
        <v>49</v>
      </c>
      <c r="C7" s="3"/>
      <c r="D7" s="3"/>
    </row>
    <row r="8" spans="1:4" x14ac:dyDescent="0.2">
      <c r="B8" s="2" t="s">
        <v>50</v>
      </c>
      <c r="C8" s="3"/>
      <c r="D8" s="3"/>
    </row>
    <row r="9" spans="1:4" x14ac:dyDescent="0.2">
      <c r="B9" s="2" t="s">
        <v>222</v>
      </c>
      <c r="C9" s="3"/>
      <c r="D9" s="3"/>
    </row>
    <row r="10" spans="1:4" s="7" customFormat="1" x14ac:dyDescent="0.2">
      <c r="B10" s="7" t="s">
        <v>51</v>
      </c>
      <c r="C10" s="8"/>
      <c r="D10" s="8"/>
    </row>
    <row r="11" spans="1:4" x14ac:dyDescent="0.2">
      <c r="C11" s="3"/>
      <c r="D11" s="3"/>
    </row>
    <row r="12" spans="1:4" x14ac:dyDescent="0.2">
      <c r="B12" s="2" t="s">
        <v>102</v>
      </c>
      <c r="C12" s="3"/>
      <c r="D12" s="3"/>
    </row>
    <row r="13" spans="1:4" x14ac:dyDescent="0.2">
      <c r="C13" s="3"/>
      <c r="D13" s="3"/>
    </row>
    <row r="14" spans="1:4" x14ac:dyDescent="0.2">
      <c r="B14" s="2" t="s">
        <v>27</v>
      </c>
      <c r="C14" s="3"/>
      <c r="D14" s="3"/>
    </row>
    <row r="15" spans="1:4" x14ac:dyDescent="0.2">
      <c r="B15" s="2" t="s">
        <v>52</v>
      </c>
      <c r="C15" s="3"/>
      <c r="D15" s="3"/>
    </row>
    <row r="16" spans="1:4" x14ac:dyDescent="0.2">
      <c r="B16" s="2" t="s">
        <v>43</v>
      </c>
      <c r="C16" s="3"/>
      <c r="D16" s="3"/>
    </row>
    <row r="17" spans="2:4" x14ac:dyDescent="0.2">
      <c r="B17" s="2" t="s">
        <v>151</v>
      </c>
      <c r="C17" s="3"/>
      <c r="D17" s="3"/>
    </row>
    <row r="18" spans="2:4" x14ac:dyDescent="0.2">
      <c r="B18" s="2" t="s">
        <v>53</v>
      </c>
      <c r="C18" s="3"/>
      <c r="D18" s="3"/>
    </row>
    <row r="19" spans="2:4" s="7" customFormat="1" x14ac:dyDescent="0.2">
      <c r="B19" s="7" t="s">
        <v>54</v>
      </c>
      <c r="C19" s="8"/>
      <c r="D19" s="8"/>
    </row>
    <row r="20" spans="2:4" x14ac:dyDescent="0.2">
      <c r="C20" s="3"/>
      <c r="D20" s="3"/>
    </row>
    <row r="21" spans="2:4" s="1" customFormat="1" x14ac:dyDescent="0.2">
      <c r="B21" s="1" t="s">
        <v>55</v>
      </c>
      <c r="C21" s="6"/>
      <c r="D21" s="6"/>
    </row>
    <row r="22" spans="2:4" x14ac:dyDescent="0.2">
      <c r="C22" s="3"/>
      <c r="D22" s="3"/>
    </row>
    <row r="23" spans="2:4" x14ac:dyDescent="0.2">
      <c r="C23" s="3"/>
      <c r="D23" s="3"/>
    </row>
    <row r="25" spans="2:4" x14ac:dyDescent="0.2">
      <c r="B25" s="2" t="s">
        <v>56</v>
      </c>
      <c r="C25" s="3"/>
      <c r="D25" s="3"/>
    </row>
    <row r="26" spans="2:4" x14ac:dyDescent="0.2">
      <c r="B26" s="2" t="s">
        <v>57</v>
      </c>
      <c r="C26" s="3"/>
      <c r="D26" s="3"/>
    </row>
    <row r="27" spans="2:4" x14ac:dyDescent="0.2">
      <c r="B27" s="2" t="s">
        <v>58</v>
      </c>
      <c r="C27" s="3"/>
      <c r="D27" s="3"/>
    </row>
    <row r="28" spans="2:4" x14ac:dyDescent="0.2">
      <c r="B28" s="2" t="s">
        <v>9</v>
      </c>
      <c r="C28" s="3"/>
      <c r="D28" s="3"/>
    </row>
    <row r="29" spans="2:4" s="7" customFormat="1" x14ac:dyDescent="0.2">
      <c r="B29" s="7" t="s">
        <v>59</v>
      </c>
      <c r="C29" s="8"/>
      <c r="D29" s="8"/>
    </row>
    <row r="30" spans="2:4" x14ac:dyDescent="0.2">
      <c r="C30" s="3"/>
      <c r="D30" s="3"/>
    </row>
    <row r="31" spans="2:4" s="7" customFormat="1" x14ac:dyDescent="0.2">
      <c r="B31" s="7" t="s">
        <v>60</v>
      </c>
      <c r="C31" s="8"/>
      <c r="D31" s="8"/>
    </row>
    <row r="32" spans="2:4" x14ac:dyDescent="0.2">
      <c r="C32" s="3"/>
      <c r="D32" s="3"/>
    </row>
    <row r="33" spans="2:4" x14ac:dyDescent="0.2">
      <c r="B33" s="2" t="s">
        <v>223</v>
      </c>
      <c r="C33" s="3"/>
      <c r="D33" s="3"/>
    </row>
    <row r="34" spans="2:4" x14ac:dyDescent="0.2">
      <c r="B34" s="9" t="s">
        <v>224</v>
      </c>
      <c r="C34" s="3"/>
      <c r="D34" s="3"/>
    </row>
    <row r="35" spans="2:4" x14ac:dyDescent="0.2">
      <c r="B35" s="9" t="s">
        <v>225</v>
      </c>
      <c r="C35" s="3"/>
      <c r="D35" s="3"/>
    </row>
    <row r="36" spans="2:4" x14ac:dyDescent="0.2">
      <c r="B36" s="9" t="s">
        <v>103</v>
      </c>
      <c r="C36" s="3"/>
      <c r="D36" s="3"/>
    </row>
    <row r="37" spans="2:4" x14ac:dyDescent="0.2">
      <c r="B37" s="9" t="s">
        <v>45</v>
      </c>
      <c r="C37" s="3"/>
      <c r="D37" s="3"/>
    </row>
    <row r="38" spans="2:4" x14ac:dyDescent="0.2">
      <c r="B38" s="9" t="s">
        <v>7</v>
      </c>
      <c r="C38" s="3"/>
      <c r="D38" s="3"/>
    </row>
    <row r="39" spans="2:4" s="7" customFormat="1" x14ac:dyDescent="0.2">
      <c r="B39" s="7" t="s">
        <v>62</v>
      </c>
      <c r="C39" s="8"/>
      <c r="D39" s="8"/>
    </row>
    <row r="40" spans="2:4" x14ac:dyDescent="0.2">
      <c r="C40" s="3"/>
      <c r="D40" s="3"/>
    </row>
    <row r="41" spans="2:4" s="1" customFormat="1" x14ac:dyDescent="0.2">
      <c r="B41" s="1" t="s">
        <v>61</v>
      </c>
      <c r="C41" s="6"/>
      <c r="D41" s="6"/>
    </row>
    <row r="42" spans="2:4" x14ac:dyDescent="0.2">
      <c r="C42" s="3"/>
    </row>
    <row r="43" spans="2:4" x14ac:dyDescent="0.2">
      <c r="C43" s="3"/>
    </row>
    <row r="44" spans="2:4" x14ac:dyDescent="0.2">
      <c r="C44" s="3"/>
    </row>
    <row r="45" spans="2:4" x14ac:dyDescent="0.2">
      <c r="C45" s="3"/>
    </row>
    <row r="46" spans="2:4" x14ac:dyDescent="0.2">
      <c r="C46" s="3"/>
    </row>
    <row r="47" spans="2:4" x14ac:dyDescent="0.2">
      <c r="C47" s="3"/>
    </row>
    <row r="48" spans="2:4" x14ac:dyDescent="0.2">
      <c r="C48" s="3"/>
    </row>
    <row r="49" spans="3:3" x14ac:dyDescent="0.2">
      <c r="C49" s="3"/>
    </row>
    <row r="50" spans="3:3" x14ac:dyDescent="0.2">
      <c r="C50" s="3"/>
    </row>
    <row r="51" spans="3:3" x14ac:dyDescent="0.2">
      <c r="C51" s="3"/>
    </row>
    <row r="52" spans="3:3" x14ac:dyDescent="0.2">
      <c r="C52" s="3"/>
    </row>
    <row r="53" spans="3:3" x14ac:dyDescent="0.2">
      <c r="C53" s="3"/>
    </row>
    <row r="54" spans="3:3" x14ac:dyDescent="0.2">
      <c r="C54" s="3"/>
    </row>
    <row r="55" spans="3:3" x14ac:dyDescent="0.2">
      <c r="C55" s="3"/>
    </row>
    <row r="56" spans="3:3" x14ac:dyDescent="0.2">
      <c r="C56" s="3"/>
    </row>
    <row r="57" spans="3:3" x14ac:dyDescent="0.2">
      <c r="C57" s="3"/>
    </row>
    <row r="58" spans="3:3" x14ac:dyDescent="0.2">
      <c r="C58" s="3"/>
    </row>
    <row r="59" spans="3:3" x14ac:dyDescent="0.2">
      <c r="C59" s="3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="80" workbookViewId="0">
      <selection activeCell="D1" sqref="D1:D65536"/>
    </sheetView>
  </sheetViews>
  <sheetFormatPr baseColWidth="10" defaultRowHeight="12.75" x14ac:dyDescent="0.2"/>
  <cols>
    <col min="1" max="1" width="1.85546875" style="2" customWidth="1"/>
    <col min="2" max="2" width="38.5703125" style="2" customWidth="1"/>
    <col min="3" max="16384" width="11.42578125" style="2"/>
  </cols>
  <sheetData>
    <row r="1" spans="1:4" x14ac:dyDescent="0.2">
      <c r="A1" s="1" t="s">
        <v>9</v>
      </c>
      <c r="B1" s="1"/>
    </row>
    <row r="2" spans="1:4" x14ac:dyDescent="0.2">
      <c r="A2" s="2" t="s">
        <v>104</v>
      </c>
    </row>
    <row r="4" spans="1:4" s="1" customFormat="1" x14ac:dyDescent="0.2">
      <c r="D4" s="38"/>
    </row>
    <row r="5" spans="1:4" x14ac:dyDescent="0.2">
      <c r="B5" s="2" t="s">
        <v>10</v>
      </c>
      <c r="C5" s="3"/>
      <c r="D5" s="3"/>
    </row>
    <row r="6" spans="1:4" x14ac:dyDescent="0.2">
      <c r="B6" s="2" t="s">
        <v>203</v>
      </c>
      <c r="C6" s="3"/>
      <c r="D6" s="3"/>
    </row>
    <row r="7" spans="1:4" x14ac:dyDescent="0.2">
      <c r="B7" s="2" t="s">
        <v>219</v>
      </c>
      <c r="C7" s="3"/>
      <c r="D7" s="3"/>
    </row>
    <row r="8" spans="1:4" x14ac:dyDescent="0.2">
      <c r="C8" s="3"/>
    </row>
    <row r="9" spans="1:4" x14ac:dyDescent="0.2">
      <c r="B9" s="2" t="s">
        <v>13</v>
      </c>
      <c r="C9" s="3"/>
      <c r="D9" s="3"/>
    </row>
    <row r="12" spans="1:4" s="1" customFormat="1" x14ac:dyDescent="0.2">
      <c r="B12" s="1" t="s">
        <v>11</v>
      </c>
      <c r="C12" s="6"/>
      <c r="D12" s="6"/>
    </row>
    <row r="13" spans="1:4" x14ac:dyDescent="0.2">
      <c r="B13" s="2" t="s">
        <v>12</v>
      </c>
      <c r="C13" s="37"/>
      <c r="D13" s="37"/>
    </row>
    <row r="16" spans="1:4" x14ac:dyDescent="0.2">
      <c r="B16" s="2" t="str">
        <f>+Costes!B41</f>
        <v>Gastos de personal</v>
      </c>
      <c r="C16" s="3"/>
      <c r="D16" s="3"/>
    </row>
    <row r="17" spans="2:9" x14ac:dyDescent="0.2">
      <c r="B17" s="2" t="str">
        <f>+Costes!B19</f>
        <v>Gastos generales</v>
      </c>
      <c r="C17" s="3"/>
      <c r="D17" s="3"/>
      <c r="G17" s="4"/>
      <c r="H17" s="4"/>
      <c r="I17" s="4"/>
    </row>
    <row r="18" spans="2:9" x14ac:dyDescent="0.2">
      <c r="C18" s="37"/>
      <c r="D18" s="37"/>
    </row>
    <row r="19" spans="2:9" x14ac:dyDescent="0.2">
      <c r="C19" s="3"/>
    </row>
    <row r="20" spans="2:9" s="1" customFormat="1" x14ac:dyDescent="0.2">
      <c r="B20" s="1" t="s">
        <v>14</v>
      </c>
      <c r="C20" s="6"/>
      <c r="D20" s="6"/>
    </row>
    <row r="21" spans="2:9" x14ac:dyDescent="0.2">
      <c r="B21" s="2" t="s">
        <v>15</v>
      </c>
      <c r="C21" s="37"/>
      <c r="D21" s="37"/>
    </row>
    <row r="24" spans="2:9" x14ac:dyDescent="0.2">
      <c r="B24" s="2" t="s">
        <v>16</v>
      </c>
      <c r="C24" s="3"/>
      <c r="D24" s="3"/>
    </row>
    <row r="27" spans="2:9" x14ac:dyDescent="0.2">
      <c r="B27" s="1" t="s">
        <v>21</v>
      </c>
      <c r="C27" s="6"/>
      <c r="D27" s="6"/>
    </row>
    <row r="28" spans="2:9" x14ac:dyDescent="0.2">
      <c r="B28" s="2" t="s">
        <v>22</v>
      </c>
      <c r="C28" s="37"/>
      <c r="D28" s="37"/>
    </row>
    <row r="31" spans="2:9" x14ac:dyDescent="0.2">
      <c r="B31" s="2" t="s">
        <v>98</v>
      </c>
      <c r="C31" s="3"/>
      <c r="D31" s="3"/>
    </row>
    <row r="32" spans="2:9" x14ac:dyDescent="0.2">
      <c r="B32" s="2" t="s">
        <v>48</v>
      </c>
      <c r="C32" s="3"/>
      <c r="D32" s="3"/>
    </row>
    <row r="33" spans="2:4" x14ac:dyDescent="0.2">
      <c r="B33" s="2" t="s">
        <v>220</v>
      </c>
      <c r="C33" s="3"/>
      <c r="D33" s="3"/>
    </row>
    <row r="34" spans="2:4" x14ac:dyDescent="0.2">
      <c r="B34" s="2" t="s">
        <v>221</v>
      </c>
      <c r="C34" s="3"/>
      <c r="D34" s="3"/>
    </row>
    <row r="35" spans="2:4" x14ac:dyDescent="0.2">
      <c r="C35" s="3"/>
    </row>
    <row r="36" spans="2:4" s="1" customFormat="1" x14ac:dyDescent="0.2">
      <c r="B36" s="1" t="s">
        <v>99</v>
      </c>
      <c r="C36" s="6"/>
      <c r="D36" s="6"/>
    </row>
    <row r="37" spans="2:4" x14ac:dyDescent="0.2">
      <c r="C37" s="3"/>
    </row>
    <row r="38" spans="2:4" x14ac:dyDescent="0.2">
      <c r="B38" s="2" t="s">
        <v>150</v>
      </c>
      <c r="C38" s="3"/>
      <c r="D38" s="3"/>
    </row>
    <row r="39" spans="2:4" x14ac:dyDescent="0.2">
      <c r="B39" s="2" t="s">
        <v>100</v>
      </c>
      <c r="C39" s="3"/>
      <c r="D39" s="3"/>
    </row>
    <row r="40" spans="2:4" x14ac:dyDescent="0.2">
      <c r="C40" s="3"/>
    </row>
    <row r="41" spans="2:4" s="1" customFormat="1" x14ac:dyDescent="0.2">
      <c r="B41" s="1" t="s">
        <v>63</v>
      </c>
      <c r="C41" s="6"/>
      <c r="D41" s="6"/>
    </row>
    <row r="42" spans="2:4" x14ac:dyDescent="0.2">
      <c r="C42" s="3"/>
    </row>
    <row r="43" spans="2:4" x14ac:dyDescent="0.2">
      <c r="B43" s="2" t="s">
        <v>24</v>
      </c>
      <c r="C43" s="3"/>
      <c r="D43" s="3"/>
    </row>
    <row r="44" spans="2:4" x14ac:dyDescent="0.2">
      <c r="C44" s="3"/>
    </row>
    <row r="45" spans="2:4" s="1" customFormat="1" x14ac:dyDescent="0.2">
      <c r="B45" s="1" t="s">
        <v>77</v>
      </c>
      <c r="C45" s="6"/>
      <c r="D45" s="6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workbookViewId="0">
      <selection activeCell="F15" sqref="F15"/>
    </sheetView>
  </sheetViews>
  <sheetFormatPr baseColWidth="10" defaultRowHeight="12.75" x14ac:dyDescent="0.2"/>
  <cols>
    <col min="1" max="1" width="3.5703125" style="2" customWidth="1"/>
    <col min="2" max="2" width="30.7109375" style="2" customWidth="1"/>
    <col min="3" max="6" width="11.42578125" style="190"/>
    <col min="7" max="7" width="12.7109375" style="190" bestFit="1" customWidth="1"/>
    <col min="8" max="8" width="11.42578125" style="2"/>
    <col min="9" max="9" width="11.42578125" style="3"/>
    <col min="10" max="16384" width="11.42578125" style="2"/>
  </cols>
  <sheetData>
    <row r="1" spans="1:10" x14ac:dyDescent="0.2">
      <c r="A1" s="1" t="s">
        <v>269</v>
      </c>
    </row>
    <row r="2" spans="1:10" x14ac:dyDescent="0.2">
      <c r="A2" s="9" t="s">
        <v>104</v>
      </c>
    </row>
    <row r="4" spans="1:10" x14ac:dyDescent="0.2">
      <c r="B4" s="2" t="s">
        <v>268</v>
      </c>
      <c r="D4" s="191">
        <v>0.02</v>
      </c>
      <c r="E4" s="191">
        <v>0.03</v>
      </c>
      <c r="F4" s="191">
        <v>0.04</v>
      </c>
      <c r="G4" s="191">
        <v>0.04</v>
      </c>
    </row>
    <row r="5" spans="1:10" x14ac:dyDescent="0.2">
      <c r="D5" s="205"/>
      <c r="E5" s="205"/>
      <c r="F5" s="205"/>
      <c r="G5" s="205"/>
    </row>
    <row r="6" spans="1:10" x14ac:dyDescent="0.2">
      <c r="B6" s="2" t="s">
        <v>300</v>
      </c>
      <c r="C6" s="204">
        <v>300000</v>
      </c>
      <c r="D6" s="204">
        <v>300000</v>
      </c>
      <c r="E6" s="204">
        <v>300000</v>
      </c>
      <c r="F6" s="204">
        <v>300000</v>
      </c>
      <c r="G6" s="204">
        <v>300000</v>
      </c>
    </row>
    <row r="7" spans="1:10" x14ac:dyDescent="0.2">
      <c r="B7" s="2" t="s">
        <v>301</v>
      </c>
      <c r="C7" s="204">
        <v>3</v>
      </c>
      <c r="D7" s="204">
        <v>3</v>
      </c>
      <c r="E7" s="204">
        <v>2</v>
      </c>
      <c r="F7" s="204">
        <v>2</v>
      </c>
      <c r="G7" s="204">
        <v>2</v>
      </c>
    </row>
    <row r="8" spans="1:10" x14ac:dyDescent="0.2">
      <c r="B8" s="2" t="s">
        <v>302</v>
      </c>
      <c r="C8" s="195">
        <f>+C6/C7</f>
        <v>100000</v>
      </c>
      <c r="D8" s="195">
        <f>+C8+(D6/D7)</f>
        <v>200000</v>
      </c>
      <c r="E8" s="195">
        <f>+D8+(E6/E7)</f>
        <v>350000</v>
      </c>
      <c r="F8" s="195">
        <f>+E8+(F6/F7)</f>
        <v>500000</v>
      </c>
      <c r="G8" s="195">
        <f>+F8+(G6/G7)</f>
        <v>650000</v>
      </c>
    </row>
    <row r="10" spans="1:10" x14ac:dyDescent="0.2">
      <c r="C10" s="190" t="s">
        <v>257</v>
      </c>
      <c r="D10" s="190" t="s">
        <v>258</v>
      </c>
      <c r="E10" s="190" t="s">
        <v>259</v>
      </c>
      <c r="F10" s="190" t="s">
        <v>260</v>
      </c>
      <c r="G10" s="190" t="s">
        <v>261</v>
      </c>
    </row>
    <row r="12" spans="1:10" x14ac:dyDescent="0.2">
      <c r="B12" s="2" t="s">
        <v>280</v>
      </c>
    </row>
    <row r="13" spans="1:10" x14ac:dyDescent="0.2">
      <c r="B13" s="202" t="s">
        <v>307</v>
      </c>
      <c r="C13" s="191">
        <v>0.2</v>
      </c>
      <c r="D13" s="191">
        <f>+C13</f>
        <v>0.2</v>
      </c>
      <c r="E13" s="191">
        <f>+D13</f>
        <v>0.2</v>
      </c>
      <c r="F13" s="191">
        <f>+E13</f>
        <v>0.2</v>
      </c>
      <c r="G13" s="191">
        <f>+F13</f>
        <v>0.2</v>
      </c>
    </row>
    <row r="14" spans="1:10" x14ac:dyDescent="0.2">
      <c r="B14" s="202" t="s">
        <v>304</v>
      </c>
      <c r="C14" s="195">
        <f>+C13*C8</f>
        <v>20000</v>
      </c>
      <c r="D14" s="195">
        <f>+D13*D8</f>
        <v>40000</v>
      </c>
      <c r="E14" s="195">
        <f>+E13*E8</f>
        <v>70000</v>
      </c>
      <c r="F14" s="195">
        <f>+F13*F8</f>
        <v>100000</v>
      </c>
      <c r="G14" s="195">
        <f>+G13*G8</f>
        <v>130000</v>
      </c>
    </row>
    <row r="15" spans="1:10" x14ac:dyDescent="0.2">
      <c r="B15" s="202" t="s">
        <v>305</v>
      </c>
      <c r="C15" s="203">
        <v>1.5</v>
      </c>
      <c r="D15" s="203">
        <v>1.5</v>
      </c>
      <c r="E15" s="203">
        <v>1.5</v>
      </c>
      <c r="F15" s="203"/>
      <c r="G15" s="203">
        <v>1.5</v>
      </c>
      <c r="J15" s="10"/>
    </row>
    <row r="16" spans="1:10" x14ac:dyDescent="0.2">
      <c r="B16" s="158" t="s">
        <v>283</v>
      </c>
      <c r="C16" s="203">
        <v>10</v>
      </c>
      <c r="D16" s="206">
        <f>+C16*(1+D4)</f>
        <v>10.199999999999999</v>
      </c>
      <c r="E16" s="206">
        <f>+D16*(1+E4)</f>
        <v>10.506</v>
      </c>
      <c r="F16" s="206">
        <f>+E16*(1+F4)</f>
        <v>10.92624</v>
      </c>
      <c r="G16" s="206">
        <f>+F16*(1+G4)</f>
        <v>11.3632896</v>
      </c>
      <c r="J16" s="10"/>
    </row>
    <row r="17" spans="2:7" x14ac:dyDescent="0.2">
      <c r="C17" s="196">
        <f>+C14*C15*C16</f>
        <v>300000</v>
      </c>
      <c r="D17" s="196">
        <f>+D14*D15*D16</f>
        <v>612000</v>
      </c>
      <c r="E17" s="196">
        <f>+E14*E15*E16</f>
        <v>1103130</v>
      </c>
      <c r="F17" s="196">
        <f>+F14*F15*F16</f>
        <v>0</v>
      </c>
      <c r="G17" s="196">
        <f>+G14*G15*G16</f>
        <v>2215841.4720000001</v>
      </c>
    </row>
    <row r="19" spans="2:7" x14ac:dyDescent="0.2">
      <c r="B19" s="2" t="s">
        <v>281</v>
      </c>
      <c r="C19" s="195"/>
      <c r="D19" s="195"/>
      <c r="E19" s="195"/>
      <c r="F19" s="195"/>
      <c r="G19" s="195"/>
    </row>
    <row r="20" spans="2:7" x14ac:dyDescent="0.2">
      <c r="B20" s="158" t="s">
        <v>306</v>
      </c>
      <c r="C20" s="191">
        <v>0.05</v>
      </c>
      <c r="D20" s="191">
        <f>+C20</f>
        <v>0.05</v>
      </c>
      <c r="E20" s="191">
        <f>+D20</f>
        <v>0.05</v>
      </c>
      <c r="F20" s="191">
        <f>+E20</f>
        <v>0.05</v>
      </c>
      <c r="G20" s="191">
        <f>+F20</f>
        <v>0.05</v>
      </c>
    </row>
    <row r="21" spans="2:7" x14ac:dyDescent="0.2">
      <c r="B21" s="158" t="s">
        <v>285</v>
      </c>
      <c r="C21" s="195">
        <f>10%*C20*C8</f>
        <v>500.00000000000011</v>
      </c>
      <c r="D21" s="195">
        <f>10%*D20*D8</f>
        <v>1000.0000000000002</v>
      </c>
      <c r="E21" s="195">
        <f>10%*E20*E8</f>
        <v>1750.0000000000002</v>
      </c>
      <c r="F21" s="195">
        <f>10%*F20*F8</f>
        <v>2500.0000000000005</v>
      </c>
      <c r="G21" s="195">
        <f>10%*G20*G8</f>
        <v>3250.0000000000005</v>
      </c>
    </row>
    <row r="22" spans="2:7" x14ac:dyDescent="0.2">
      <c r="B22" s="158" t="s">
        <v>287</v>
      </c>
      <c r="C22" s="195">
        <f>30%*C20*C8</f>
        <v>1500</v>
      </c>
      <c r="D22" s="195">
        <f>30%*D20*D8</f>
        <v>3000</v>
      </c>
      <c r="E22" s="195">
        <f>30%*E20*E8</f>
        <v>5250</v>
      </c>
      <c r="F22" s="195">
        <f>30%*F20*F8</f>
        <v>7500</v>
      </c>
      <c r="G22" s="195">
        <f>30%*G20*G8</f>
        <v>9750</v>
      </c>
    </row>
    <row r="23" spans="2:7" x14ac:dyDescent="0.2">
      <c r="B23" s="158" t="s">
        <v>286</v>
      </c>
      <c r="C23" s="195">
        <f>60%*C20*C8</f>
        <v>3000</v>
      </c>
      <c r="D23" s="195">
        <f>60%*D20*D8</f>
        <v>6000</v>
      </c>
      <c r="E23" s="195">
        <f>60%*E20*E8</f>
        <v>10500</v>
      </c>
      <c r="F23" s="195">
        <f>60%*F20*F8</f>
        <v>15000</v>
      </c>
      <c r="G23" s="195">
        <f>60%*G20*G8</f>
        <v>19500</v>
      </c>
    </row>
    <row r="24" spans="2:7" x14ac:dyDescent="0.2">
      <c r="B24" s="158"/>
    </row>
    <row r="25" spans="2:7" x14ac:dyDescent="0.2">
      <c r="B25" s="202" t="s">
        <v>289</v>
      </c>
      <c r="C25" s="203">
        <v>50</v>
      </c>
      <c r="D25" s="206">
        <f>+C25*(1+D4)</f>
        <v>51</v>
      </c>
      <c r="E25" s="206">
        <f>+D25*(1+E4)</f>
        <v>52.53</v>
      </c>
      <c r="F25" s="206">
        <f>+E25*(1+F4)</f>
        <v>54.6312</v>
      </c>
      <c r="G25" s="206">
        <f>+F25*(1+G4)</f>
        <v>56.816448000000001</v>
      </c>
    </row>
    <row r="26" spans="2:7" x14ac:dyDescent="0.2">
      <c r="B26" s="202" t="s">
        <v>290</v>
      </c>
      <c r="C26" s="203">
        <v>10</v>
      </c>
      <c r="D26" s="206">
        <f>+C26*(1+D4)</f>
        <v>10.199999999999999</v>
      </c>
      <c r="E26" s="206">
        <f>+D26*(1+E4)</f>
        <v>10.506</v>
      </c>
      <c r="F26" s="206">
        <f>+E26*(1+F4)</f>
        <v>10.92624</v>
      </c>
      <c r="G26" s="206">
        <f>+F26*(1+G4)</f>
        <v>11.3632896</v>
      </c>
    </row>
    <row r="27" spans="2:7" x14ac:dyDescent="0.2">
      <c r="B27" s="202" t="s">
        <v>288</v>
      </c>
      <c r="C27" s="203">
        <v>3</v>
      </c>
      <c r="D27" s="206">
        <f>+C27*(1+D4)</f>
        <v>3.06</v>
      </c>
      <c r="E27" s="206">
        <f>+D27*(1+E4)</f>
        <v>3.1518000000000002</v>
      </c>
      <c r="F27" s="206">
        <f>+E27*(1+F4)</f>
        <v>3.2778720000000003</v>
      </c>
      <c r="G27" s="206">
        <f>+F27*(1+G4)</f>
        <v>3.4089868800000005</v>
      </c>
    </row>
    <row r="28" spans="2:7" x14ac:dyDescent="0.2">
      <c r="C28" s="196">
        <f>+SUMPRODUCT(C21:C23,C25:C27)</f>
        <v>49000.000000000007</v>
      </c>
      <c r="D28" s="196">
        <f>+SUMPRODUCT(D21:D23,D25:D27)</f>
        <v>99960.000000000015</v>
      </c>
      <c r="E28" s="196">
        <f>+SUMPRODUCT(E21:E23,E25:E27)</f>
        <v>180177.9</v>
      </c>
      <c r="F28" s="196">
        <f>+SUMPRODUCT(F21:F23,F25:F27)</f>
        <v>267692.88000000006</v>
      </c>
      <c r="G28" s="196">
        <f>+SUMPRODUCT(G21:G23,G25:G27)</f>
        <v>361920.77376000001</v>
      </c>
    </row>
    <row r="30" spans="2:7" x14ac:dyDescent="0.2">
      <c r="B30" s="9" t="s">
        <v>282</v>
      </c>
    </row>
    <row r="31" spans="2:7" x14ac:dyDescent="0.2">
      <c r="B31" s="202" t="s">
        <v>308</v>
      </c>
      <c r="C31" s="205">
        <f>1-C13-C20</f>
        <v>0.75</v>
      </c>
      <c r="D31" s="205">
        <f>1-D13-D20</f>
        <v>0.75</v>
      </c>
      <c r="E31" s="205">
        <f>1-E13-E20</f>
        <v>0.75</v>
      </c>
      <c r="F31" s="205">
        <f>1-F13-F20</f>
        <v>0.75</v>
      </c>
      <c r="G31" s="205">
        <f>1-G13-G20</f>
        <v>0.75</v>
      </c>
    </row>
    <row r="32" spans="2:7" x14ac:dyDescent="0.2">
      <c r="B32" s="202" t="s">
        <v>303</v>
      </c>
      <c r="C32" s="195">
        <f>+C31*C8</f>
        <v>75000</v>
      </c>
      <c r="D32" s="195">
        <f>+D31*D8</f>
        <v>150000</v>
      </c>
      <c r="E32" s="195">
        <f>+E31*E8</f>
        <v>262500</v>
      </c>
      <c r="F32" s="195">
        <f>+F31*F8</f>
        <v>375000</v>
      </c>
      <c r="G32" s="195">
        <f>+G31*G8</f>
        <v>487500</v>
      </c>
    </row>
    <row r="33" spans="2:7" x14ac:dyDescent="0.2">
      <c r="B33" s="207" t="s">
        <v>309</v>
      </c>
      <c r="C33" s="204">
        <v>2</v>
      </c>
      <c r="D33" s="204">
        <v>2</v>
      </c>
      <c r="E33" s="204">
        <v>3</v>
      </c>
      <c r="F33" s="204">
        <v>3</v>
      </c>
      <c r="G33" s="204">
        <v>4</v>
      </c>
    </row>
    <row r="34" spans="2:7" x14ac:dyDescent="0.2">
      <c r="B34" s="158" t="s">
        <v>284</v>
      </c>
      <c r="C34" s="203">
        <v>0.75</v>
      </c>
      <c r="D34" s="206">
        <f>+C34*(1+D4)</f>
        <v>0.76500000000000001</v>
      </c>
      <c r="E34" s="206">
        <f>+D34*(1+E4)</f>
        <v>0.78795000000000004</v>
      </c>
      <c r="F34" s="206">
        <f>+E34*(1+F4)</f>
        <v>0.81946800000000009</v>
      </c>
      <c r="G34" s="206">
        <f>+F34*(1+G4)</f>
        <v>0.85224672000000012</v>
      </c>
    </row>
    <row r="35" spans="2:7" x14ac:dyDescent="0.2">
      <c r="C35" s="196">
        <f>+C32*C34*C33</f>
        <v>112500</v>
      </c>
      <c r="D35" s="196">
        <f>+D32*D34*D33</f>
        <v>229500</v>
      </c>
      <c r="E35" s="196">
        <f>+E32*E34*E33</f>
        <v>620510.625</v>
      </c>
      <c r="F35" s="196">
        <f>+F32*F34*F33</f>
        <v>921901.50000000023</v>
      </c>
      <c r="G35" s="196">
        <f>+G32*G34*G33</f>
        <v>1661881.1040000003</v>
      </c>
    </row>
    <row r="36" spans="2:7" x14ac:dyDescent="0.2">
      <c r="C36" s="195"/>
      <c r="D36" s="195"/>
      <c r="E36" s="195"/>
      <c r="F36" s="195"/>
      <c r="G36" s="195"/>
    </row>
    <row r="37" spans="2:7" x14ac:dyDescent="0.2">
      <c r="B37" s="9"/>
      <c r="C37" s="195"/>
      <c r="D37" s="195"/>
      <c r="E37" s="195"/>
      <c r="F37" s="195"/>
      <c r="G37" s="195"/>
    </row>
    <row r="38" spans="2:7" x14ac:dyDescent="0.2">
      <c r="B38" s="2" t="s">
        <v>201</v>
      </c>
      <c r="C38" s="196">
        <f>+C17+C28+C35</f>
        <v>461500</v>
      </c>
      <c r="D38" s="196">
        <f>+D17+D28+D35</f>
        <v>941460</v>
      </c>
      <c r="E38" s="196">
        <f>+E17+E28+E35</f>
        <v>1903818.5249999999</v>
      </c>
      <c r="F38" s="196">
        <f>+F17+F28+F35</f>
        <v>1189594.3800000004</v>
      </c>
      <c r="G38" s="196">
        <f>+G17+G28+G35</f>
        <v>4239643.3497600006</v>
      </c>
    </row>
    <row r="39" spans="2:7" x14ac:dyDescent="0.2">
      <c r="C39" s="196"/>
      <c r="D39" s="196"/>
      <c r="E39" s="196"/>
      <c r="F39" s="196"/>
      <c r="G39" s="196"/>
    </row>
    <row r="42" spans="2:7" x14ac:dyDescent="0.2">
      <c r="B42" s="1"/>
    </row>
    <row r="46" spans="2:7" x14ac:dyDescent="0.2">
      <c r="B46" s="9"/>
    </row>
    <row r="48" spans="2:7" x14ac:dyDescent="0.2">
      <c r="C48" s="195"/>
      <c r="D48" s="195"/>
      <c r="E48" s="195"/>
      <c r="F48" s="195"/>
      <c r="G48" s="195"/>
    </row>
    <row r="49" spans="2:7" x14ac:dyDescent="0.2">
      <c r="C49" s="195"/>
      <c r="D49" s="195"/>
      <c r="E49" s="195"/>
      <c r="F49" s="195"/>
      <c r="G49" s="195"/>
    </row>
    <row r="50" spans="2:7" x14ac:dyDescent="0.2">
      <c r="B50" s="9"/>
      <c r="C50" s="195"/>
      <c r="D50" s="195"/>
      <c r="E50" s="195"/>
      <c r="F50" s="195"/>
      <c r="G50" s="195"/>
    </row>
    <row r="54" spans="2:7" x14ac:dyDescent="0.2">
      <c r="B54" s="9"/>
    </row>
    <row r="56" spans="2:7" x14ac:dyDescent="0.2">
      <c r="C56" s="195"/>
      <c r="D56" s="195"/>
      <c r="E56" s="195"/>
      <c r="F56" s="195"/>
      <c r="G56" s="195"/>
    </row>
    <row r="57" spans="2:7" x14ac:dyDescent="0.2">
      <c r="C57" s="195"/>
      <c r="D57" s="195"/>
      <c r="E57" s="195"/>
      <c r="F57" s="195"/>
      <c r="G57" s="195"/>
    </row>
    <row r="58" spans="2:7" x14ac:dyDescent="0.2">
      <c r="B58" s="9"/>
      <c r="C58" s="195"/>
      <c r="D58" s="195"/>
      <c r="E58" s="195"/>
      <c r="F58" s="195"/>
      <c r="G58" s="195"/>
    </row>
    <row r="59" spans="2:7" x14ac:dyDescent="0.2">
      <c r="C59" s="195"/>
      <c r="D59" s="195"/>
      <c r="E59" s="195"/>
      <c r="F59" s="195"/>
      <c r="G59" s="195"/>
    </row>
    <row r="60" spans="2:7" x14ac:dyDescent="0.2">
      <c r="B60" s="2" t="s">
        <v>201</v>
      </c>
      <c r="C60" s="196">
        <f>SUM(C56:C59)</f>
        <v>0</v>
      </c>
      <c r="D60" s="196">
        <f>SUM(D56:D59)</f>
        <v>0</v>
      </c>
      <c r="E60" s="196">
        <f>SUM(E56:E59)</f>
        <v>0</v>
      </c>
      <c r="F60" s="196">
        <f>SUM(F56:F59)</f>
        <v>0</v>
      </c>
      <c r="G60" s="196">
        <f>SUM(G56:G59)</f>
        <v>0</v>
      </c>
    </row>
  </sheetData>
  <phoneticPr fontId="12" type="noConversion"/>
  <printOptions horizontalCentered="1" verticalCentered="1"/>
  <pageMargins left="0.78740157480314965" right="0.78740157480314965" top="0.98425196850393704" bottom="0.98425196850393704" header="0" footer="0"/>
  <pageSetup paperSize="9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pane xSplit="2" ySplit="4" topLeftCell="C5" activePane="bottomRight" state="frozen"/>
      <selection activeCell="F15" sqref="F15"/>
      <selection pane="topRight" activeCell="F15" sqref="F15"/>
      <selection pane="bottomLeft" activeCell="F15" sqref="F15"/>
      <selection pane="bottomRight" activeCell="F15" sqref="F15"/>
    </sheetView>
  </sheetViews>
  <sheetFormatPr baseColWidth="10" defaultRowHeight="12.75" x14ac:dyDescent="0.2"/>
  <cols>
    <col min="1" max="1" width="1.7109375" style="2" customWidth="1"/>
    <col min="2" max="2" width="34.5703125" style="2" bestFit="1" customWidth="1"/>
    <col min="3" max="6" width="11.42578125" style="2"/>
    <col min="7" max="7" width="11.5703125" style="2" bestFit="1" customWidth="1"/>
    <col min="8" max="16384" width="11.42578125" style="2"/>
  </cols>
  <sheetData>
    <row r="1" spans="1:10" x14ac:dyDescent="0.2">
      <c r="A1" s="1" t="s">
        <v>1</v>
      </c>
    </row>
    <row r="2" spans="1:10" x14ac:dyDescent="0.2">
      <c r="A2" s="2" t="s">
        <v>2</v>
      </c>
    </row>
    <row r="4" spans="1:10" x14ac:dyDescent="0.2">
      <c r="D4" s="38" t="s">
        <v>257</v>
      </c>
      <c r="E4" s="38" t="s">
        <v>258</v>
      </c>
      <c r="F4" s="38" t="s">
        <v>259</v>
      </c>
      <c r="G4" s="38" t="s">
        <v>260</v>
      </c>
      <c r="H4" s="38" t="s">
        <v>261</v>
      </c>
    </row>
    <row r="5" spans="1:10" x14ac:dyDescent="0.2">
      <c r="D5" s="38"/>
      <c r="E5" s="38"/>
      <c r="F5" s="38"/>
      <c r="G5" s="38"/>
      <c r="H5" s="38"/>
    </row>
    <row r="6" spans="1:10" x14ac:dyDescent="0.2">
      <c r="B6" s="9" t="str">
        <f>+'Presupuestos de ventas'!B12</f>
        <v>Contenidos de Pago</v>
      </c>
      <c r="D6" s="193">
        <f>+'Presupuestos de ventas'!C17</f>
        <v>300000</v>
      </c>
      <c r="E6" s="193">
        <f>+'Presupuestos de ventas'!D17</f>
        <v>612000</v>
      </c>
      <c r="F6" s="193">
        <f>+'Presupuestos de ventas'!E17</f>
        <v>1103130</v>
      </c>
      <c r="G6" s="193">
        <f>+'Presupuestos de ventas'!F17</f>
        <v>0</v>
      </c>
      <c r="H6" s="193">
        <f>+'Presupuestos de ventas'!G17</f>
        <v>2215841.4720000001</v>
      </c>
    </row>
    <row r="7" spans="1:10" x14ac:dyDescent="0.2">
      <c r="B7" s="9" t="str">
        <f>+'Presupuestos de ventas'!B19</f>
        <v>Licencias Premium</v>
      </c>
      <c r="D7" s="193">
        <f>+'Presupuestos de ventas'!C28</f>
        <v>49000.000000000007</v>
      </c>
      <c r="E7" s="193">
        <f>+'Presupuestos de ventas'!D28</f>
        <v>99960.000000000015</v>
      </c>
      <c r="F7" s="193">
        <f>+'Presupuestos de ventas'!E28</f>
        <v>180177.9</v>
      </c>
      <c r="G7" s="193">
        <f>+'Presupuestos de ventas'!F28</f>
        <v>267692.88000000006</v>
      </c>
      <c r="H7" s="193">
        <f>+'Presupuestos de ventas'!G28</f>
        <v>361920.77376000001</v>
      </c>
    </row>
    <row r="8" spans="1:10" x14ac:dyDescent="0.2">
      <c r="B8" s="9" t="str">
        <f>+'Presupuestos de ventas'!B30</f>
        <v>Publicidad</v>
      </c>
      <c r="D8" s="193">
        <f>+'Presupuestos de ventas'!C35</f>
        <v>112500</v>
      </c>
      <c r="E8" s="193">
        <f>+'Presupuestos de ventas'!D35</f>
        <v>229500</v>
      </c>
      <c r="F8" s="193">
        <f>+'Presupuestos de ventas'!E35</f>
        <v>620510.625</v>
      </c>
      <c r="G8" s="193">
        <f>+'Presupuestos de ventas'!F35</f>
        <v>921901.50000000023</v>
      </c>
      <c r="H8" s="193">
        <f>+'Presupuestos de ventas'!G35</f>
        <v>1661881.1040000003</v>
      </c>
    </row>
    <row r="9" spans="1:10" x14ac:dyDescent="0.2">
      <c r="B9" s="9" t="s">
        <v>274</v>
      </c>
      <c r="D9" s="6">
        <f>SUM(D6:D8)</f>
        <v>461500</v>
      </c>
      <c r="E9" s="6">
        <f>SUM(E6:E8)</f>
        <v>941460</v>
      </c>
      <c r="F9" s="6">
        <f>SUM(F6:F8)</f>
        <v>1903818.5249999999</v>
      </c>
      <c r="G9" s="6">
        <f>SUM(G6:G8)</f>
        <v>1189594.3800000004</v>
      </c>
      <c r="H9" s="6">
        <f>SUM(H6:H8)</f>
        <v>4239643.3497600006</v>
      </c>
    </row>
    <row r="11" spans="1:10" x14ac:dyDescent="0.2">
      <c r="B11" s="7" t="s">
        <v>310</v>
      </c>
      <c r="J11" s="37"/>
    </row>
    <row r="12" spans="1:10" x14ac:dyDescent="0.2">
      <c r="B12" s="129">
        <v>0</v>
      </c>
      <c r="D12" s="192">
        <v>0</v>
      </c>
      <c r="E12" s="192">
        <v>0</v>
      </c>
      <c r="F12" s="192">
        <v>0.1</v>
      </c>
      <c r="G12" s="192">
        <v>0.2</v>
      </c>
      <c r="H12" s="192">
        <v>0.4</v>
      </c>
    </row>
    <row r="13" spans="1:10" x14ac:dyDescent="0.2">
      <c r="B13" s="129">
        <v>30</v>
      </c>
      <c r="D13" s="192">
        <v>0.75</v>
      </c>
      <c r="E13" s="192">
        <v>0.75</v>
      </c>
      <c r="F13" s="192">
        <v>0.7</v>
      </c>
      <c r="G13" s="192">
        <v>0.6</v>
      </c>
      <c r="H13" s="192">
        <v>0.5</v>
      </c>
    </row>
    <row r="14" spans="1:10" x14ac:dyDescent="0.2">
      <c r="B14" s="129">
        <v>60</v>
      </c>
      <c r="D14" s="192">
        <v>0.25</v>
      </c>
      <c r="E14" s="192">
        <v>0.25</v>
      </c>
      <c r="F14" s="192">
        <v>0.2</v>
      </c>
      <c r="G14" s="192">
        <v>0.2</v>
      </c>
      <c r="H14" s="192">
        <v>0.1</v>
      </c>
    </row>
    <row r="15" spans="1:10" x14ac:dyDescent="0.2">
      <c r="B15" s="129">
        <v>90</v>
      </c>
      <c r="D15" s="208">
        <f>1-D12-D13-D14</f>
        <v>0</v>
      </c>
      <c r="E15" s="208">
        <f t="shared" ref="E15:H15" si="0">1-E12-E13-E14</f>
        <v>0</v>
      </c>
      <c r="F15" s="208"/>
      <c r="G15" s="208">
        <f t="shared" si="0"/>
        <v>0</v>
      </c>
      <c r="H15" s="208">
        <f t="shared" si="0"/>
        <v>0</v>
      </c>
    </row>
    <row r="17" spans="2:8" x14ac:dyDescent="0.2">
      <c r="B17" s="1" t="s">
        <v>226</v>
      </c>
      <c r="C17" s="1"/>
      <c r="D17" s="11">
        <f>+SUMPRODUCT($B$12:$B$15,D12:D15)</f>
        <v>37.5</v>
      </c>
      <c r="E17" s="11">
        <f>+SUMPRODUCT($B$12:$B$15,E12:E15)</f>
        <v>37.5</v>
      </c>
      <c r="F17" s="11">
        <f>+SUMPRODUCT($B$12:$B$15,F12:F15)</f>
        <v>33</v>
      </c>
      <c r="G17" s="11">
        <f>+SUMPRODUCT($B$12:$B$15,G12:G15)</f>
        <v>30</v>
      </c>
      <c r="H17" s="11">
        <f>+SUMPRODUCT($B$12:$B$15,H12:H15)</f>
        <v>21</v>
      </c>
    </row>
    <row r="19" spans="2:8" x14ac:dyDescent="0.2">
      <c r="B19" s="200"/>
    </row>
  </sheetData>
  <phoneticPr fontId="0" type="noConversion"/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8"/>
  <sheetViews>
    <sheetView tabSelected="1" topLeftCell="A13" workbookViewId="0">
      <selection activeCell="F15" sqref="F15"/>
    </sheetView>
  </sheetViews>
  <sheetFormatPr baseColWidth="10" defaultRowHeight="12.75" x14ac:dyDescent="0.2"/>
  <cols>
    <col min="1" max="1" width="6.85546875" style="2" bestFit="1" customWidth="1"/>
    <col min="2" max="2" width="28.7109375" style="2" bestFit="1" customWidth="1"/>
    <col min="3" max="3" width="11.7109375" style="2" customWidth="1"/>
    <col min="4" max="4" width="11.5703125" style="2" customWidth="1"/>
    <col min="5" max="10" width="11.42578125" style="2"/>
    <col min="11" max="11" width="23.42578125" style="2" bestFit="1" customWidth="1"/>
    <col min="12" max="12" width="13.7109375" style="2" customWidth="1"/>
    <col min="13" max="13" width="12.42578125" style="2" customWidth="1"/>
    <col min="14" max="17" width="11.42578125" style="2"/>
    <col min="18" max="18" width="12.42578125" style="2" customWidth="1"/>
    <col min="19" max="16384" width="11.42578125" style="2"/>
  </cols>
  <sheetData>
    <row r="1" spans="1:18" x14ac:dyDescent="0.2">
      <c r="A1" s="1" t="s">
        <v>8</v>
      </c>
    </row>
    <row r="2" spans="1:18" x14ac:dyDescent="0.2">
      <c r="A2" s="2" t="s">
        <v>104</v>
      </c>
    </row>
    <row r="3" spans="1:18" s="1" customFormat="1" x14ac:dyDescent="0.2">
      <c r="D3" s="1" t="str">
        <f>+'Ingresos por ventas'!D4</f>
        <v>Año 1</v>
      </c>
      <c r="E3" s="1" t="str">
        <f>+'Ingresos por ventas'!E4</f>
        <v>Año 2</v>
      </c>
      <c r="F3" s="1" t="str">
        <f>+'Ingresos por ventas'!F4</f>
        <v>Año 3</v>
      </c>
      <c r="G3" s="1" t="str">
        <f>+'Ingresos por ventas'!G4</f>
        <v>Año 4</v>
      </c>
      <c r="H3" s="1" t="str">
        <f>+'Ingresos por ventas'!H4</f>
        <v>Año 5</v>
      </c>
      <c r="L3" s="49"/>
      <c r="M3" s="49" t="str">
        <f>+D3</f>
        <v>Año 1</v>
      </c>
      <c r="N3" s="49" t="str">
        <f>+E3</f>
        <v>Año 2</v>
      </c>
      <c r="O3" s="49" t="str">
        <f>+F3</f>
        <v>Año 3</v>
      </c>
      <c r="P3" s="49" t="str">
        <f>+G3</f>
        <v>Año 4</v>
      </c>
      <c r="Q3" s="49" t="str">
        <f>+H3</f>
        <v>Año 5</v>
      </c>
      <c r="R3" s="49"/>
    </row>
    <row r="4" spans="1:18" s="1" customFormat="1" x14ac:dyDescent="0.2"/>
    <row r="5" spans="1:18" s="1" customFormat="1" x14ac:dyDescent="0.2">
      <c r="B5" s="9" t="str">
        <f>+'Ingresos por ventas'!B6</f>
        <v>Contenidos de Pago</v>
      </c>
      <c r="D5" s="50">
        <f>+'Ingresos por ventas'!D6</f>
        <v>300000</v>
      </c>
      <c r="E5" s="50">
        <f>+'Ingresos por ventas'!E6</f>
        <v>612000</v>
      </c>
      <c r="F5" s="50">
        <f>+'Ingresos por ventas'!F6</f>
        <v>1103130</v>
      </c>
      <c r="G5" s="50">
        <f>+'Ingresos por ventas'!G6</f>
        <v>0</v>
      </c>
      <c r="H5" s="50">
        <f>+'Ingresos por ventas'!H6</f>
        <v>2215841.4720000001</v>
      </c>
    </row>
    <row r="6" spans="1:18" s="1" customFormat="1" x14ac:dyDescent="0.2">
      <c r="B6" s="9" t="str">
        <f>+'Ingresos por ventas'!B7</f>
        <v>Licencias Premium</v>
      </c>
      <c r="D6" s="50">
        <f>+'Ingresos por ventas'!D7</f>
        <v>49000.000000000007</v>
      </c>
      <c r="E6" s="50">
        <f>+'Ingresos por ventas'!E7</f>
        <v>99960.000000000015</v>
      </c>
      <c r="F6" s="50">
        <f>+'Ingresos por ventas'!F7</f>
        <v>180177.9</v>
      </c>
      <c r="G6" s="50">
        <f>+'Ingresos por ventas'!G7</f>
        <v>267692.88000000006</v>
      </c>
      <c r="H6" s="50">
        <f>+'Ingresos por ventas'!H7</f>
        <v>361920.77376000001</v>
      </c>
    </row>
    <row r="7" spans="1:18" s="1" customFormat="1" x14ac:dyDescent="0.2">
      <c r="B7" s="9" t="str">
        <f>+'Ingresos por ventas'!B8</f>
        <v>Publicidad</v>
      </c>
      <c r="D7" s="50">
        <f>+'Ingresos por ventas'!D8</f>
        <v>112500</v>
      </c>
      <c r="E7" s="50">
        <f>+'Ingresos por ventas'!E8</f>
        <v>229500</v>
      </c>
      <c r="F7" s="50">
        <f>+'Ingresos por ventas'!F8</f>
        <v>620510.625</v>
      </c>
      <c r="G7" s="50">
        <f>+'Ingresos por ventas'!G8</f>
        <v>921901.50000000023</v>
      </c>
      <c r="H7" s="50">
        <f>+'Ingresos por ventas'!H8</f>
        <v>1661881.1040000003</v>
      </c>
    </row>
    <row r="8" spans="1:18" s="1" customFormat="1" x14ac:dyDescent="0.2">
      <c r="B8" s="1" t="s">
        <v>3</v>
      </c>
      <c r="C8" s="6"/>
      <c r="D8" s="6">
        <f>+'Ingresos por ventas'!D9</f>
        <v>461500</v>
      </c>
      <c r="E8" s="6">
        <f>+'Ingresos por ventas'!E9</f>
        <v>941460</v>
      </c>
      <c r="F8" s="6">
        <f>+'Ingresos por ventas'!F9</f>
        <v>1903818.5249999999</v>
      </c>
      <c r="G8" s="6">
        <f>+'Ingresos por ventas'!G9</f>
        <v>1189594.3800000004</v>
      </c>
      <c r="H8" s="6">
        <f>+'Ingresos por ventas'!H9</f>
        <v>4239643.3497600006</v>
      </c>
      <c r="I8" s="6"/>
    </row>
    <row r="9" spans="1:18" x14ac:dyDescent="0.2">
      <c r="L9" s="37"/>
      <c r="M9" s="37"/>
      <c r="N9" s="37"/>
      <c r="O9" s="37"/>
      <c r="P9" s="37"/>
      <c r="Q9" s="37"/>
    </row>
    <row r="10" spans="1:18" x14ac:dyDescent="0.2">
      <c r="B10" s="2" t="str">
        <f>+'Ingresos por ventas'!B6</f>
        <v>Contenidos de Pago</v>
      </c>
      <c r="D10" s="56">
        <v>0.5</v>
      </c>
      <c r="E10" s="56">
        <v>0.5</v>
      </c>
      <c r="F10" s="56">
        <v>0.5</v>
      </c>
      <c r="G10" s="56">
        <v>0.5</v>
      </c>
      <c r="H10" s="56">
        <v>0.5</v>
      </c>
      <c r="L10" s="37"/>
      <c r="M10" s="37"/>
      <c r="N10" s="37"/>
      <c r="O10" s="37"/>
      <c r="P10" s="37"/>
      <c r="Q10" s="37"/>
    </row>
    <row r="11" spans="1:18" x14ac:dyDescent="0.2">
      <c r="B11" s="2" t="str">
        <f>+'Ingresos por ventas'!B7</f>
        <v>Licencias Premium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L11" s="37"/>
      <c r="M11" s="37"/>
      <c r="N11" s="37"/>
      <c r="O11" s="37"/>
      <c r="P11" s="37"/>
      <c r="Q11" s="37"/>
    </row>
    <row r="12" spans="1:18" x14ac:dyDescent="0.2">
      <c r="B12" s="2" t="str">
        <f>+'Ingresos por ventas'!B8</f>
        <v>Publicidad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L12" s="37"/>
      <c r="M12" s="197"/>
      <c r="N12" s="197"/>
      <c r="O12" s="197"/>
      <c r="P12" s="197"/>
      <c r="Q12" s="197"/>
    </row>
    <row r="13" spans="1:18" x14ac:dyDescent="0.2">
      <c r="D13" s="3"/>
      <c r="E13" s="3"/>
      <c r="F13" s="3"/>
      <c r="G13" s="3"/>
      <c r="H13" s="3"/>
      <c r="L13" s="182"/>
      <c r="M13" s="198"/>
      <c r="N13" s="198"/>
      <c r="O13" s="198"/>
      <c r="P13" s="198"/>
      <c r="Q13" s="66"/>
    </row>
    <row r="14" spans="1:18" s="1" customFormat="1" x14ac:dyDescent="0.2">
      <c r="B14" s="1" t="str">
        <f>+PyG!B9</f>
        <v>Coste de ventas</v>
      </c>
      <c r="C14" s="6"/>
      <c r="D14" s="6">
        <f>+SUMPRODUCT(D5:D7,D10:D12)</f>
        <v>150000</v>
      </c>
      <c r="E14" s="6">
        <f>+SUMPRODUCT(E5:E7,E10:E12)</f>
        <v>306000</v>
      </c>
      <c r="F14" s="6">
        <f>+SUMPRODUCT(F5:F7,F10:F12)</f>
        <v>551565</v>
      </c>
      <c r="G14" s="6">
        <f>+SUMPRODUCT(G5:G7,G10:G12)</f>
        <v>0</v>
      </c>
      <c r="H14" s="6">
        <f>+SUMPRODUCT(H5:H7,H10:H12)</f>
        <v>1107920.736</v>
      </c>
      <c r="I14" s="6"/>
      <c r="L14" s="57"/>
      <c r="M14" s="198"/>
      <c r="N14" s="198"/>
      <c r="O14" s="198"/>
      <c r="P14" s="198"/>
      <c r="Q14" s="199"/>
      <c r="R14" s="57"/>
    </row>
    <row r="15" spans="1:18" s="1" customFormat="1" x14ac:dyDescent="0.2">
      <c r="C15" s="6"/>
      <c r="D15" s="187">
        <f>+IF(D8=0,0,D14/D8)</f>
        <v>0.32502708559046589</v>
      </c>
      <c r="E15" s="187">
        <f>+IF(E8=0,0,E14/E8)</f>
        <v>0.32502708559046589</v>
      </c>
      <c r="F15" s="187"/>
      <c r="G15" s="187">
        <f>+IF(G8=0,0,G14/G8)</f>
        <v>0</v>
      </c>
      <c r="H15" s="187">
        <f>+IF(H8=0,0,H14/H8)</f>
        <v>0.26132404181184665</v>
      </c>
      <c r="I15" s="6"/>
      <c r="L15" s="57"/>
      <c r="M15" s="199"/>
      <c r="N15" s="199"/>
      <c r="O15" s="199"/>
      <c r="P15" s="199"/>
      <c r="Q15" s="199"/>
      <c r="R15" s="57"/>
    </row>
    <row r="16" spans="1:18" s="1" customFormat="1" x14ac:dyDescent="0.2">
      <c r="C16" s="6"/>
      <c r="D16" s="6"/>
      <c r="E16" s="6"/>
      <c r="F16" s="6"/>
      <c r="G16" s="6"/>
      <c r="H16" s="6"/>
      <c r="I16" s="6"/>
      <c r="L16" s="57"/>
      <c r="M16" s="199"/>
      <c r="N16" s="199"/>
      <c r="O16" s="199"/>
      <c r="P16" s="199"/>
      <c r="Q16" s="199"/>
      <c r="R16" s="57"/>
    </row>
    <row r="17" spans="1:18" s="1" customFormat="1" x14ac:dyDescent="0.2">
      <c r="B17" s="1" t="s">
        <v>159</v>
      </c>
      <c r="C17" s="6"/>
      <c r="D17" s="6">
        <f>+D8-D14</f>
        <v>311500</v>
      </c>
      <c r="E17" s="6">
        <f>+E8-E14</f>
        <v>635460</v>
      </c>
      <c r="F17" s="6">
        <f>+F8-F14</f>
        <v>1352253.5249999999</v>
      </c>
      <c r="G17" s="6">
        <f>+G8-G14</f>
        <v>1189594.3800000004</v>
      </c>
      <c r="H17" s="6">
        <f>+H8-H14</f>
        <v>3131722.6137600006</v>
      </c>
      <c r="I17" s="6"/>
      <c r="L17" s="57"/>
      <c r="M17" s="199"/>
      <c r="N17" s="199"/>
      <c r="O17" s="199"/>
      <c r="P17" s="199"/>
      <c r="Q17" s="199"/>
      <c r="R17" s="57"/>
    </row>
    <row r="18" spans="1:18" s="1" customFormat="1" x14ac:dyDescent="0.2">
      <c r="C18" s="6"/>
      <c r="D18" s="6"/>
      <c r="E18" s="6"/>
      <c r="F18" s="6"/>
      <c r="G18" s="6"/>
      <c r="H18" s="6"/>
      <c r="I18" s="6"/>
      <c r="L18" s="57"/>
      <c r="M18" s="199"/>
      <c r="N18" s="199"/>
      <c r="O18" s="199"/>
      <c r="P18" s="199"/>
      <c r="Q18" s="199"/>
      <c r="R18" s="57"/>
    </row>
    <row r="19" spans="1:18" s="1" customFormat="1" x14ac:dyDescent="0.2">
      <c r="B19" s="1" t="s">
        <v>4</v>
      </c>
      <c r="I19" s="1" t="s">
        <v>243</v>
      </c>
      <c r="M19" s="22"/>
      <c r="N19" s="22"/>
      <c r="O19" s="22"/>
      <c r="P19" s="22"/>
      <c r="Q19" s="22"/>
    </row>
    <row r="20" spans="1:18" x14ac:dyDescent="0.2">
      <c r="A20" s="10">
        <v>0</v>
      </c>
      <c r="B20" s="163" t="s">
        <v>244</v>
      </c>
      <c r="C20" s="50"/>
      <c r="D20" s="48">
        <v>18000</v>
      </c>
      <c r="E20" s="3">
        <f>+D20*(1+$I$20)</f>
        <v>18900</v>
      </c>
      <c r="F20" s="3">
        <f>+E20*(1+$I$20)</f>
        <v>19845</v>
      </c>
      <c r="G20" s="3">
        <f>+F20*(1+$I$20)</f>
        <v>20837.25</v>
      </c>
      <c r="H20" s="3">
        <f>+G20*(1+$I$20)</f>
        <v>21879.112499999999</v>
      </c>
      <c r="I20" s="37">
        <v>0.05</v>
      </c>
      <c r="L20" s="37"/>
      <c r="M20" s="4"/>
      <c r="N20" s="4"/>
      <c r="O20" s="4"/>
      <c r="P20" s="4"/>
      <c r="Q20" s="4"/>
      <c r="R20" s="4"/>
    </row>
    <row r="21" spans="1:18" x14ac:dyDescent="0.2">
      <c r="A21" s="10">
        <v>0</v>
      </c>
      <c r="B21" s="163" t="s">
        <v>245</v>
      </c>
      <c r="C21" s="50"/>
      <c r="D21" s="48">
        <v>8400</v>
      </c>
      <c r="E21" s="3">
        <f>+D21*(1+$I$21)</f>
        <v>8820</v>
      </c>
      <c r="F21" s="3">
        <f>+E21*(1+$I$21)</f>
        <v>9261</v>
      </c>
      <c r="G21" s="3">
        <f>+F21*(1+$I$21)</f>
        <v>9724.0500000000011</v>
      </c>
      <c r="H21" s="3">
        <f>+G21*(1+$I$21)</f>
        <v>10210.252500000002</v>
      </c>
      <c r="I21" s="37">
        <v>0.05</v>
      </c>
      <c r="L21" s="37"/>
      <c r="M21" s="4"/>
      <c r="N21" s="4"/>
      <c r="O21" s="4"/>
      <c r="P21" s="4"/>
      <c r="Q21" s="4"/>
      <c r="R21" s="4"/>
    </row>
    <row r="22" spans="1:18" x14ac:dyDescent="0.2">
      <c r="A22" s="10">
        <v>0</v>
      </c>
      <c r="B22" s="2" t="s">
        <v>292</v>
      </c>
      <c r="C22" s="50"/>
      <c r="D22" s="48">
        <v>5775</v>
      </c>
      <c r="E22" s="3">
        <f>+D22*(1+$I$22)</f>
        <v>6063.75</v>
      </c>
      <c r="F22" s="3">
        <f>+E22*(1+$I$22)</f>
        <v>6366.9375</v>
      </c>
      <c r="G22" s="3">
        <f>+F22*(1+$I$22)</f>
        <v>6685.2843750000002</v>
      </c>
      <c r="H22" s="3">
        <f>+G22*(1+$I$22)</f>
        <v>7019.5485937500007</v>
      </c>
      <c r="I22" s="37">
        <v>0.05</v>
      </c>
      <c r="L22" s="37"/>
      <c r="M22" s="4"/>
      <c r="N22" s="4"/>
      <c r="O22" s="4"/>
      <c r="P22" s="4"/>
      <c r="Q22" s="4"/>
      <c r="R22" s="4"/>
    </row>
    <row r="23" spans="1:18" x14ac:dyDescent="0.2">
      <c r="A23" s="10">
        <v>0</v>
      </c>
      <c r="B23" s="2" t="s">
        <v>246</v>
      </c>
      <c r="C23" s="50"/>
      <c r="D23" s="48">
        <v>1200</v>
      </c>
      <c r="E23" s="3">
        <f>+D23*(1+$I$23)</f>
        <v>1260</v>
      </c>
      <c r="F23" s="3">
        <f>+E23*(1+$I$23)</f>
        <v>1323</v>
      </c>
      <c r="G23" s="3">
        <f>+F23*(1+$I$23)</f>
        <v>1389.15</v>
      </c>
      <c r="H23" s="3">
        <f>+G23*(1+$I$23)</f>
        <v>1458.6075000000001</v>
      </c>
      <c r="I23" s="37">
        <v>0.05</v>
      </c>
      <c r="L23" s="37"/>
      <c r="M23" s="4"/>
      <c r="N23" s="4"/>
      <c r="O23" s="4"/>
      <c r="P23" s="4"/>
      <c r="Q23" s="4"/>
      <c r="R23" s="4"/>
    </row>
    <row r="24" spans="1:18" x14ac:dyDescent="0.2">
      <c r="A24" s="10">
        <v>0</v>
      </c>
      <c r="B24" s="2" t="s">
        <v>247</v>
      </c>
      <c r="C24" s="50"/>
      <c r="D24" s="48">
        <v>4000</v>
      </c>
      <c r="E24" s="3">
        <f>+D24*(1+$I$24)</f>
        <v>4200</v>
      </c>
      <c r="F24" s="3">
        <f>+E24*(1+$I$24)</f>
        <v>4410</v>
      </c>
      <c r="G24" s="3">
        <f>+F24*(1+$I$24)</f>
        <v>4630.5</v>
      </c>
      <c r="H24" s="3">
        <f>+G24*(1+$I$24)</f>
        <v>4862.0250000000005</v>
      </c>
      <c r="I24" s="37">
        <v>0.05</v>
      </c>
      <c r="L24" s="37"/>
      <c r="M24" s="4"/>
      <c r="N24" s="4"/>
      <c r="O24" s="4"/>
      <c r="P24" s="4"/>
      <c r="Q24" s="4"/>
      <c r="R24" s="4"/>
    </row>
    <row r="25" spans="1:18" x14ac:dyDescent="0.2">
      <c r="A25" s="10">
        <v>0</v>
      </c>
      <c r="B25" s="2" t="s">
        <v>248</v>
      </c>
      <c r="C25" s="50"/>
      <c r="D25" s="48">
        <v>5000</v>
      </c>
      <c r="E25" s="3">
        <f>+D25*(1+$I$25)</f>
        <v>5250</v>
      </c>
      <c r="F25" s="3">
        <f>+E25*(1+$I$25)</f>
        <v>5512.5</v>
      </c>
      <c r="G25" s="3">
        <f>+F25*(1+$I$25)</f>
        <v>5788.125</v>
      </c>
      <c r="H25" s="3">
        <f>+G25*(1+$I$25)</f>
        <v>6077.53125</v>
      </c>
      <c r="I25" s="37">
        <v>0.05</v>
      </c>
      <c r="L25" s="37"/>
      <c r="M25" s="4"/>
      <c r="N25" s="4"/>
      <c r="O25" s="4"/>
      <c r="P25" s="4"/>
      <c r="Q25" s="4"/>
      <c r="R25" s="4"/>
    </row>
    <row r="26" spans="1:18" x14ac:dyDescent="0.2">
      <c r="A26" s="10">
        <v>0</v>
      </c>
      <c r="B26" s="2" t="s">
        <v>273</v>
      </c>
      <c r="C26" s="50"/>
      <c r="D26" s="48">
        <v>15000</v>
      </c>
      <c r="E26" s="3">
        <v>18000</v>
      </c>
      <c r="F26" s="3">
        <v>25000</v>
      </c>
      <c r="G26" s="3">
        <v>40000</v>
      </c>
      <c r="H26" s="3">
        <v>60000</v>
      </c>
      <c r="I26" s="37"/>
      <c r="L26" s="37"/>
      <c r="M26" s="4"/>
      <c r="N26" s="4"/>
      <c r="O26" s="4"/>
      <c r="P26" s="4"/>
      <c r="Q26" s="4"/>
      <c r="R26" s="4"/>
    </row>
    <row r="27" spans="1:18" x14ac:dyDescent="0.2">
      <c r="A27" s="10">
        <v>0</v>
      </c>
      <c r="B27" s="2" t="s">
        <v>249</v>
      </c>
      <c r="C27" s="50"/>
      <c r="D27" s="48">
        <v>6000</v>
      </c>
      <c r="E27" s="3">
        <f>+D27*(1+$I$27)</f>
        <v>6120</v>
      </c>
      <c r="F27" s="3">
        <f>+E27*(1+$I$27)</f>
        <v>6242.4000000000005</v>
      </c>
      <c r="G27" s="3">
        <f>+F27*(1+$I$27)</f>
        <v>6367.2480000000005</v>
      </c>
      <c r="H27" s="3">
        <f>+G27*(1+$I$27)</f>
        <v>6494.5929600000009</v>
      </c>
      <c r="I27" s="37">
        <f>+E39</f>
        <v>0.02</v>
      </c>
      <c r="L27" s="37"/>
      <c r="M27" s="4"/>
      <c r="N27" s="4"/>
      <c r="O27" s="4"/>
      <c r="P27" s="4"/>
      <c r="Q27" s="4"/>
      <c r="R27" s="4"/>
    </row>
    <row r="28" spans="1:18" x14ac:dyDescent="0.2">
      <c r="A28" s="10">
        <v>0</v>
      </c>
      <c r="B28" s="2" t="s">
        <v>293</v>
      </c>
      <c r="C28" s="50"/>
      <c r="D28" s="48">
        <v>5000</v>
      </c>
      <c r="E28" s="3">
        <f>+D28*(1+$I$28)</f>
        <v>5100</v>
      </c>
      <c r="F28" s="3">
        <f>+E28*(1+$I$28)</f>
        <v>5202</v>
      </c>
      <c r="G28" s="3">
        <f>+F28*(1+$I$28)</f>
        <v>5306.04</v>
      </c>
      <c r="H28" s="3">
        <f>+G28*(1+$I$28)</f>
        <v>5412.1607999999997</v>
      </c>
      <c r="I28" s="37">
        <f>+E39</f>
        <v>0.02</v>
      </c>
      <c r="L28" s="37"/>
      <c r="M28" s="4"/>
      <c r="N28" s="4"/>
      <c r="O28" s="4"/>
      <c r="P28" s="4"/>
      <c r="Q28" s="4"/>
      <c r="R28" s="4"/>
    </row>
    <row r="29" spans="1:18" x14ac:dyDescent="0.2">
      <c r="A29" s="10">
        <v>0</v>
      </c>
      <c r="B29" s="2" t="s">
        <v>250</v>
      </c>
      <c r="C29" s="50"/>
      <c r="D29" s="48">
        <v>300</v>
      </c>
      <c r="E29" s="3">
        <f>+D29*(1+$I$29)</f>
        <v>306</v>
      </c>
      <c r="F29" s="3">
        <f>+E29*(1+$I$29)</f>
        <v>312.12</v>
      </c>
      <c r="G29" s="3">
        <f>+F29*(1+$I$29)</f>
        <v>318.36240000000004</v>
      </c>
      <c r="H29" s="3">
        <f>+G29*(1+$I$29)</f>
        <v>324.72964800000005</v>
      </c>
      <c r="I29" s="37">
        <f>+E39</f>
        <v>0.02</v>
      </c>
      <c r="L29" s="37"/>
      <c r="M29" s="4"/>
      <c r="N29" s="4"/>
      <c r="O29" s="4"/>
      <c r="P29" s="4"/>
      <c r="Q29" s="4"/>
      <c r="R29" s="4"/>
    </row>
    <row r="30" spans="1:18" x14ac:dyDescent="0.2">
      <c r="A30" s="10">
        <v>0</v>
      </c>
      <c r="B30" s="2" t="s">
        <v>251</v>
      </c>
      <c r="C30" s="50"/>
      <c r="D30" s="48">
        <v>6000</v>
      </c>
      <c r="E30" s="3">
        <f>+D30*(1+$I$30)</f>
        <v>6120</v>
      </c>
      <c r="F30" s="3">
        <f>+E30*(1+$I$30)</f>
        <v>6242.4000000000005</v>
      </c>
      <c r="G30" s="3">
        <f>+F30*(1+$I$30)</f>
        <v>6367.2480000000005</v>
      </c>
      <c r="H30" s="3">
        <f>+G30*(1+$I$30)</f>
        <v>6494.5929600000009</v>
      </c>
      <c r="I30" s="37">
        <f>+E39</f>
        <v>0.02</v>
      </c>
      <c r="L30" s="37"/>
      <c r="M30" s="4"/>
      <c r="N30" s="4"/>
      <c r="O30" s="4"/>
      <c r="P30" s="4"/>
      <c r="Q30" s="4"/>
      <c r="R30" s="4"/>
    </row>
    <row r="31" spans="1:18" x14ac:dyDescent="0.2">
      <c r="A31" s="10">
        <v>0</v>
      </c>
      <c r="B31" s="2" t="s">
        <v>262</v>
      </c>
      <c r="C31" s="50"/>
      <c r="D31" s="3">
        <f>+'Presupuestos de ventas'!C6</f>
        <v>300000</v>
      </c>
      <c r="E31" s="3">
        <f>+'Presupuestos de ventas'!D6</f>
        <v>300000</v>
      </c>
      <c r="F31" s="3">
        <f>+'Presupuestos de ventas'!E6</f>
        <v>300000</v>
      </c>
      <c r="G31" s="3">
        <f>+'Presupuestos de ventas'!F6</f>
        <v>300000</v>
      </c>
      <c r="H31" s="3">
        <f>+'Presupuestos de ventas'!G6</f>
        <v>300000</v>
      </c>
      <c r="I31" s="37"/>
      <c r="L31" s="37"/>
      <c r="M31" s="4"/>
      <c r="N31" s="4"/>
      <c r="O31" s="4"/>
      <c r="P31" s="4"/>
      <c r="Q31" s="4"/>
      <c r="R31" s="4"/>
    </row>
    <row r="32" spans="1:18" x14ac:dyDescent="0.2">
      <c r="A32" s="10">
        <v>0</v>
      </c>
      <c r="B32" s="2" t="s">
        <v>252</v>
      </c>
      <c r="C32" s="50"/>
      <c r="D32" s="48">
        <v>6000</v>
      </c>
      <c r="E32" s="3">
        <v>20000</v>
      </c>
      <c r="F32" s="3">
        <v>30000</v>
      </c>
      <c r="G32" s="3">
        <v>30000</v>
      </c>
      <c r="H32" s="3">
        <v>30000</v>
      </c>
      <c r="I32" s="37"/>
      <c r="L32" s="37"/>
      <c r="M32" s="4"/>
      <c r="N32" s="4"/>
      <c r="O32" s="4"/>
      <c r="P32" s="4"/>
      <c r="Q32" s="4"/>
      <c r="R32" s="4"/>
    </row>
    <row r="33" spans="1:18" x14ac:dyDescent="0.2">
      <c r="A33" s="10">
        <v>1</v>
      </c>
      <c r="B33" s="2" t="s">
        <v>264</v>
      </c>
      <c r="C33" s="50"/>
      <c r="D33" s="48">
        <v>6000</v>
      </c>
      <c r="E33" s="3">
        <v>6000</v>
      </c>
      <c r="F33" s="3">
        <v>6000</v>
      </c>
      <c r="G33" s="3">
        <v>6000</v>
      </c>
      <c r="H33" s="3">
        <v>6000</v>
      </c>
      <c r="I33" s="37"/>
      <c r="L33" s="37"/>
      <c r="M33" s="4"/>
      <c r="N33" s="4"/>
      <c r="O33" s="4"/>
      <c r="P33" s="4"/>
      <c r="Q33" s="4"/>
      <c r="R33" s="4"/>
    </row>
    <row r="34" spans="1:18" x14ac:dyDescent="0.2">
      <c r="A34" s="10">
        <v>1</v>
      </c>
      <c r="B34" s="2" t="s">
        <v>265</v>
      </c>
      <c r="C34" s="50"/>
      <c r="D34" s="48">
        <v>10000</v>
      </c>
      <c r="E34" s="3">
        <v>20000</v>
      </c>
      <c r="F34" s="3">
        <v>40000</v>
      </c>
      <c r="G34" s="3">
        <v>60000</v>
      </c>
      <c r="H34" s="3">
        <v>90000</v>
      </c>
      <c r="I34" s="37"/>
      <c r="L34" s="37"/>
      <c r="M34" s="4"/>
      <c r="N34" s="4"/>
      <c r="O34" s="4"/>
      <c r="P34" s="4"/>
      <c r="Q34" s="4"/>
      <c r="R34" s="4"/>
    </row>
    <row r="35" spans="1:18" x14ac:dyDescent="0.2">
      <c r="A35" s="10">
        <v>1</v>
      </c>
      <c r="B35" s="2" t="s">
        <v>254</v>
      </c>
      <c r="C35" s="50"/>
      <c r="D35" s="48">
        <v>6000</v>
      </c>
      <c r="E35" s="3">
        <v>20000</v>
      </c>
      <c r="F35" s="3">
        <v>20000</v>
      </c>
      <c r="G35" s="3">
        <v>20000</v>
      </c>
      <c r="H35" s="3">
        <v>20000</v>
      </c>
      <c r="I35" s="37"/>
      <c r="L35" s="37"/>
      <c r="M35" s="4"/>
      <c r="N35" s="4"/>
      <c r="O35" s="4"/>
      <c r="P35" s="4"/>
      <c r="Q35" s="4"/>
      <c r="R35" s="4"/>
    </row>
    <row r="36" spans="1:18" x14ac:dyDescent="0.2">
      <c r="A36" s="10">
        <v>0</v>
      </c>
      <c r="B36" s="2" t="s">
        <v>215</v>
      </c>
      <c r="C36" s="50"/>
      <c r="D36" s="48">
        <v>10000</v>
      </c>
      <c r="E36" s="3">
        <v>12000</v>
      </c>
      <c r="F36" s="3">
        <v>15000</v>
      </c>
      <c r="G36" s="3">
        <v>20000</v>
      </c>
      <c r="H36" s="3">
        <v>25000</v>
      </c>
      <c r="I36" s="37"/>
      <c r="L36" s="37"/>
      <c r="M36" s="4"/>
      <c r="N36" s="4"/>
      <c r="O36" s="4"/>
      <c r="P36" s="4"/>
      <c r="Q36" s="4"/>
      <c r="R36" s="4"/>
    </row>
    <row r="37" spans="1:18" s="1" customFormat="1" x14ac:dyDescent="0.2">
      <c r="C37" s="6"/>
      <c r="D37" s="6">
        <f>SUM(D20:D36)</f>
        <v>412675</v>
      </c>
      <c r="E37" s="6">
        <f>SUM(E20:E36)</f>
        <v>458139.75</v>
      </c>
      <c r="F37" s="6">
        <f>SUM(F20:F36)</f>
        <v>500717.35749999998</v>
      </c>
      <c r="G37" s="6">
        <f>SUM(G20:G36)</f>
        <v>543413.25777500006</v>
      </c>
      <c r="H37" s="6">
        <f>SUM(H20:H36)</f>
        <v>601233.15371174994</v>
      </c>
      <c r="I37" s="6"/>
      <c r="L37" s="69"/>
      <c r="M37" s="69"/>
      <c r="N37" s="69"/>
      <c r="O37" s="69"/>
      <c r="P37" s="69"/>
      <c r="Q37" s="69"/>
      <c r="R37" s="69"/>
    </row>
    <row r="39" spans="1:18" x14ac:dyDescent="0.2">
      <c r="B39" s="2" t="s">
        <v>227</v>
      </c>
      <c r="D39" s="56"/>
      <c r="E39" s="56">
        <v>0.02</v>
      </c>
      <c r="F39" s="56">
        <v>0.02</v>
      </c>
      <c r="G39" s="56">
        <v>0.02</v>
      </c>
      <c r="H39" s="56">
        <v>0.02</v>
      </c>
    </row>
    <row r="41" spans="1:18" s="1" customFormat="1" x14ac:dyDescent="0.2">
      <c r="B41" s="1" t="s">
        <v>5</v>
      </c>
      <c r="K41" s="1" t="str">
        <f>+B41</f>
        <v>Gastos de personal</v>
      </c>
      <c r="M41" s="1" t="s">
        <v>195</v>
      </c>
    </row>
    <row r="42" spans="1:18" s="1" customFormat="1" x14ac:dyDescent="0.2">
      <c r="A42" s="167">
        <v>0</v>
      </c>
      <c r="B42" s="159" t="s">
        <v>294</v>
      </c>
      <c r="C42" s="9"/>
      <c r="D42" s="3">
        <f t="shared" ref="D42:H45" si="0">M42*M65</f>
        <v>30000</v>
      </c>
      <c r="E42" s="3">
        <f t="shared" si="0"/>
        <v>30900</v>
      </c>
      <c r="F42" s="3">
        <f t="shared" si="0"/>
        <v>31827</v>
      </c>
      <c r="G42" s="3">
        <f t="shared" si="0"/>
        <v>32781.81</v>
      </c>
      <c r="H42" s="3">
        <f t="shared" si="0"/>
        <v>33765.264299999995</v>
      </c>
      <c r="I42" s="3"/>
      <c r="K42" s="9" t="str">
        <f>+B42</f>
        <v>Director general</v>
      </c>
      <c r="L42" s="9"/>
      <c r="M42" s="183">
        <v>1</v>
      </c>
      <c r="N42" s="183">
        <v>1</v>
      </c>
      <c r="O42" s="183">
        <v>1</v>
      </c>
      <c r="P42" s="183">
        <v>1</v>
      </c>
      <c r="Q42" s="183">
        <v>1</v>
      </c>
      <c r="R42" s="5"/>
    </row>
    <row r="43" spans="1:18" x14ac:dyDescent="0.2">
      <c r="A43" s="10">
        <v>0</v>
      </c>
      <c r="B43" s="159" t="s">
        <v>295</v>
      </c>
      <c r="D43" s="3">
        <f t="shared" si="0"/>
        <v>30000</v>
      </c>
      <c r="E43" s="3">
        <f t="shared" si="0"/>
        <v>30900</v>
      </c>
      <c r="F43" s="3">
        <f t="shared" si="0"/>
        <v>31827</v>
      </c>
      <c r="G43" s="3">
        <f t="shared" si="0"/>
        <v>32781.81</v>
      </c>
      <c r="H43" s="3">
        <f t="shared" si="0"/>
        <v>33765.264299999995</v>
      </c>
      <c r="I43" s="3"/>
      <c r="K43" s="9" t="str">
        <f t="shared" ref="K43:K59" si="1">+B43</f>
        <v>Director de Proyecto</v>
      </c>
      <c r="L43" s="9"/>
      <c r="M43" s="183">
        <v>1</v>
      </c>
      <c r="N43" s="183">
        <v>1</v>
      </c>
      <c r="O43" s="183">
        <v>1</v>
      </c>
      <c r="P43" s="183">
        <v>1</v>
      </c>
      <c r="Q43" s="183">
        <v>1</v>
      </c>
      <c r="R43" s="5"/>
    </row>
    <row r="44" spans="1:18" x14ac:dyDescent="0.2">
      <c r="A44" s="10">
        <v>0</v>
      </c>
      <c r="B44" s="159" t="s">
        <v>315</v>
      </c>
      <c r="D44" s="3">
        <f t="shared" si="0"/>
        <v>30000</v>
      </c>
      <c r="E44" s="3">
        <f t="shared" si="0"/>
        <v>30900</v>
      </c>
      <c r="F44" s="3">
        <f t="shared" si="0"/>
        <v>31827</v>
      </c>
      <c r="G44" s="3">
        <f t="shared" si="0"/>
        <v>32781.81</v>
      </c>
      <c r="H44" s="3">
        <f t="shared" si="0"/>
        <v>33765.264299999995</v>
      </c>
      <c r="I44" s="3"/>
      <c r="K44" s="9" t="str">
        <f t="shared" si="1"/>
        <v>Director de Arte (diseñador)</v>
      </c>
      <c r="L44" s="9"/>
      <c r="M44" s="183">
        <v>1</v>
      </c>
      <c r="N44" s="183">
        <v>1</v>
      </c>
      <c r="O44" s="183">
        <v>1</v>
      </c>
      <c r="P44" s="183">
        <v>1</v>
      </c>
      <c r="Q44" s="183">
        <v>1</v>
      </c>
      <c r="R44" s="5"/>
    </row>
    <row r="45" spans="1:18" x14ac:dyDescent="0.2">
      <c r="A45" s="10">
        <v>1</v>
      </c>
      <c r="B45" s="159" t="s">
        <v>296</v>
      </c>
      <c r="D45" s="3">
        <f t="shared" si="0"/>
        <v>24500</v>
      </c>
      <c r="E45" s="3">
        <f t="shared" si="0"/>
        <v>25235</v>
      </c>
      <c r="F45" s="3">
        <f t="shared" si="0"/>
        <v>25992.05</v>
      </c>
      <c r="G45" s="3">
        <f t="shared" si="0"/>
        <v>26771.8115</v>
      </c>
      <c r="H45" s="3">
        <f t="shared" si="0"/>
        <v>27574.965844999999</v>
      </c>
      <c r="I45" s="3"/>
      <c r="K45" s="9" t="str">
        <f t="shared" si="1"/>
        <v>Programador dispositivos</v>
      </c>
      <c r="L45" s="9"/>
      <c r="M45" s="183">
        <v>1</v>
      </c>
      <c r="N45" s="183">
        <v>1</v>
      </c>
      <c r="O45" s="183">
        <v>1</v>
      </c>
      <c r="P45" s="183">
        <v>1</v>
      </c>
      <c r="Q45" s="183">
        <v>1</v>
      </c>
      <c r="R45" s="5"/>
    </row>
    <row r="46" spans="1:18" x14ac:dyDescent="0.2">
      <c r="A46" s="10">
        <v>0.8</v>
      </c>
      <c r="B46" s="159" t="s">
        <v>297</v>
      </c>
      <c r="D46" s="3">
        <f t="shared" ref="D46:H50" si="2">M46*M70</f>
        <v>24500</v>
      </c>
      <c r="E46" s="3">
        <f t="shared" si="2"/>
        <v>25235</v>
      </c>
      <c r="F46" s="3">
        <f t="shared" si="2"/>
        <v>25992.05</v>
      </c>
      <c r="G46" s="3">
        <f t="shared" si="2"/>
        <v>26771.8115</v>
      </c>
      <c r="H46" s="3">
        <f t="shared" si="2"/>
        <v>27574.965844999999</v>
      </c>
      <c r="I46" s="3"/>
      <c r="K46" s="9" t="str">
        <f t="shared" si="1"/>
        <v>Programador web</v>
      </c>
      <c r="L46" s="9"/>
      <c r="M46" s="183">
        <v>1</v>
      </c>
      <c r="N46" s="183">
        <v>1</v>
      </c>
      <c r="O46" s="183">
        <v>1</v>
      </c>
      <c r="P46" s="183">
        <v>1</v>
      </c>
      <c r="Q46" s="183">
        <v>1</v>
      </c>
      <c r="R46" s="5"/>
    </row>
    <row r="47" spans="1:18" x14ac:dyDescent="0.2">
      <c r="A47" s="10">
        <v>0.8</v>
      </c>
      <c r="B47" s="159" t="s">
        <v>298</v>
      </c>
      <c r="D47" s="3">
        <f t="shared" si="2"/>
        <v>24500</v>
      </c>
      <c r="E47" s="3">
        <f t="shared" si="2"/>
        <v>25235</v>
      </c>
      <c r="F47" s="3">
        <f t="shared" si="2"/>
        <v>25992.05</v>
      </c>
      <c r="G47" s="3">
        <f t="shared" si="2"/>
        <v>26771.8115</v>
      </c>
      <c r="H47" s="3">
        <f t="shared" si="2"/>
        <v>27574.965844999999</v>
      </c>
      <c r="I47" s="3"/>
      <c r="K47" s="9" t="str">
        <f t="shared" si="1"/>
        <v>Maquetador/programador web</v>
      </c>
      <c r="L47" s="9"/>
      <c r="M47" s="183">
        <v>1</v>
      </c>
      <c r="N47" s="155">
        <v>1</v>
      </c>
      <c r="O47" s="155">
        <v>1</v>
      </c>
      <c r="P47" s="155">
        <v>1</v>
      </c>
      <c r="Q47" s="155">
        <v>1</v>
      </c>
      <c r="R47" s="5"/>
    </row>
    <row r="48" spans="1:18" x14ac:dyDescent="0.2">
      <c r="A48" s="10">
        <v>0</v>
      </c>
      <c r="B48" s="159" t="s">
        <v>299</v>
      </c>
      <c r="D48" s="3">
        <f t="shared" si="2"/>
        <v>10560</v>
      </c>
      <c r="E48" s="3">
        <f t="shared" si="2"/>
        <v>13596</v>
      </c>
      <c r="F48" s="3">
        <f t="shared" si="2"/>
        <v>14003.880000000001</v>
      </c>
      <c r="G48" s="3">
        <f t="shared" si="2"/>
        <v>14423.996400000002</v>
      </c>
      <c r="H48" s="3">
        <f t="shared" si="2"/>
        <v>14856.716292000003</v>
      </c>
      <c r="I48" s="3"/>
      <c r="K48" s="9" t="str">
        <f t="shared" si="1"/>
        <v>Administrativo</v>
      </c>
      <c r="L48" s="9"/>
      <c r="M48" s="183">
        <v>0.8</v>
      </c>
      <c r="N48" s="155">
        <v>1</v>
      </c>
      <c r="O48" s="155">
        <v>1</v>
      </c>
      <c r="P48" s="155">
        <v>1</v>
      </c>
      <c r="Q48" s="155">
        <v>1</v>
      </c>
      <c r="R48" s="5"/>
    </row>
    <row r="49" spans="1:18" x14ac:dyDescent="0.2">
      <c r="A49" s="10">
        <v>0</v>
      </c>
      <c r="B49" s="157" t="s">
        <v>316</v>
      </c>
      <c r="D49" s="3">
        <f t="shared" si="2"/>
        <v>9000</v>
      </c>
      <c r="E49" s="3">
        <f t="shared" si="2"/>
        <v>18540</v>
      </c>
      <c r="F49" s="3">
        <f t="shared" si="2"/>
        <v>19096.2</v>
      </c>
      <c r="G49" s="3">
        <f t="shared" si="2"/>
        <v>19669.086000000003</v>
      </c>
      <c r="H49" s="3">
        <f t="shared" si="2"/>
        <v>20259.158580000003</v>
      </c>
      <c r="I49" s="3"/>
      <c r="K49" s="9" t="str">
        <f t="shared" si="1"/>
        <v>Editor de Contenidos</v>
      </c>
      <c r="L49" s="9"/>
      <c r="M49" s="183">
        <v>0.5</v>
      </c>
      <c r="N49" s="155">
        <v>1</v>
      </c>
      <c r="O49" s="155">
        <v>1</v>
      </c>
      <c r="P49" s="155">
        <v>1</v>
      </c>
      <c r="Q49" s="155">
        <v>1</v>
      </c>
      <c r="R49" s="5"/>
    </row>
    <row r="50" spans="1:18" x14ac:dyDescent="0.2">
      <c r="A50" s="10">
        <v>0</v>
      </c>
      <c r="B50" s="157" t="s">
        <v>270</v>
      </c>
      <c r="D50" s="3">
        <f t="shared" si="2"/>
        <v>0</v>
      </c>
      <c r="E50" s="3">
        <f t="shared" si="2"/>
        <v>15450</v>
      </c>
      <c r="F50" s="3">
        <f t="shared" si="2"/>
        <v>31827</v>
      </c>
      <c r="G50" s="3">
        <f t="shared" si="2"/>
        <v>32781.81</v>
      </c>
      <c r="H50" s="3">
        <f t="shared" si="2"/>
        <v>33765.264299999995</v>
      </c>
      <c r="I50" s="3"/>
      <c r="K50" s="9" t="str">
        <f t="shared" si="1"/>
        <v>Comercial senior</v>
      </c>
      <c r="L50" s="9"/>
      <c r="M50" s="183">
        <v>0</v>
      </c>
      <c r="N50" s="155">
        <v>0.5</v>
      </c>
      <c r="O50" s="155">
        <v>1</v>
      </c>
      <c r="P50" s="155">
        <v>1</v>
      </c>
      <c r="Q50" s="155">
        <v>1</v>
      </c>
      <c r="R50" s="5"/>
    </row>
    <row r="51" spans="1:18" x14ac:dyDescent="0.2">
      <c r="A51" s="10">
        <v>0</v>
      </c>
      <c r="B51" s="157" t="s">
        <v>253</v>
      </c>
      <c r="D51" s="3">
        <f t="shared" ref="D51:H57" si="3">M51*M76</f>
        <v>0</v>
      </c>
      <c r="E51" s="3">
        <f t="shared" si="3"/>
        <v>0</v>
      </c>
      <c r="F51" s="3">
        <f t="shared" si="3"/>
        <v>9548.1</v>
      </c>
      <c r="G51" s="3">
        <f t="shared" si="3"/>
        <v>19669.086000000003</v>
      </c>
      <c r="H51" s="3">
        <f t="shared" si="3"/>
        <v>20259.158580000003</v>
      </c>
      <c r="I51" s="3"/>
      <c r="K51" s="9" t="str">
        <f t="shared" si="1"/>
        <v>Comercial</v>
      </c>
      <c r="L51" s="9"/>
      <c r="M51" s="183">
        <v>0</v>
      </c>
      <c r="N51" s="155">
        <v>0</v>
      </c>
      <c r="O51" s="155">
        <v>0.5</v>
      </c>
      <c r="P51" s="155">
        <v>1</v>
      </c>
      <c r="Q51" s="155">
        <v>1</v>
      </c>
      <c r="R51" s="5"/>
    </row>
    <row r="52" spans="1:18" x14ac:dyDescent="0.2">
      <c r="A52" s="10">
        <v>0</v>
      </c>
      <c r="B52" s="157" t="s">
        <v>253</v>
      </c>
      <c r="D52" s="3">
        <f t="shared" si="3"/>
        <v>0</v>
      </c>
      <c r="E52" s="3">
        <f t="shared" si="3"/>
        <v>0</v>
      </c>
      <c r="F52" s="3">
        <f t="shared" si="3"/>
        <v>0</v>
      </c>
      <c r="G52" s="3">
        <f t="shared" si="3"/>
        <v>9834.5430000000015</v>
      </c>
      <c r="H52" s="3">
        <f t="shared" si="3"/>
        <v>20259.158580000003</v>
      </c>
      <c r="I52" s="3"/>
      <c r="K52" s="9" t="str">
        <f t="shared" si="1"/>
        <v>Comercial</v>
      </c>
      <c r="L52" s="9"/>
      <c r="M52" s="183">
        <v>0</v>
      </c>
      <c r="N52" s="155">
        <v>0</v>
      </c>
      <c r="O52" s="155">
        <v>0</v>
      </c>
      <c r="P52" s="155">
        <v>0.5</v>
      </c>
      <c r="Q52" s="155">
        <v>1</v>
      </c>
      <c r="R52" s="5"/>
    </row>
    <row r="53" spans="1:18" x14ac:dyDescent="0.2">
      <c r="A53" s="10">
        <v>0</v>
      </c>
      <c r="B53" s="157" t="s">
        <v>299</v>
      </c>
      <c r="D53" s="3">
        <f t="shared" si="3"/>
        <v>0</v>
      </c>
      <c r="E53" s="3">
        <f t="shared" si="3"/>
        <v>6798</v>
      </c>
      <c r="F53" s="3">
        <f t="shared" si="3"/>
        <v>14003.880000000001</v>
      </c>
      <c r="G53" s="3">
        <f t="shared" si="3"/>
        <v>14423.996400000002</v>
      </c>
      <c r="H53" s="3">
        <f t="shared" si="3"/>
        <v>14856.716292000003</v>
      </c>
      <c r="I53" s="3"/>
      <c r="K53" s="9" t="str">
        <f t="shared" si="1"/>
        <v>Administrativo</v>
      </c>
      <c r="L53" s="9"/>
      <c r="M53" s="183">
        <v>0</v>
      </c>
      <c r="N53" s="155">
        <v>0.5</v>
      </c>
      <c r="O53" s="155">
        <v>1</v>
      </c>
      <c r="P53" s="155">
        <v>1</v>
      </c>
      <c r="Q53" s="155">
        <v>1</v>
      </c>
      <c r="R53" s="5"/>
    </row>
    <row r="54" spans="1:18" x14ac:dyDescent="0.2">
      <c r="A54" s="10">
        <v>0</v>
      </c>
      <c r="B54" s="157" t="s">
        <v>299</v>
      </c>
      <c r="D54" s="3">
        <f t="shared" si="3"/>
        <v>0</v>
      </c>
      <c r="E54" s="3">
        <f t="shared" si="3"/>
        <v>6798</v>
      </c>
      <c r="F54" s="3">
        <f t="shared" si="3"/>
        <v>14003.880000000001</v>
      </c>
      <c r="G54" s="3">
        <f t="shared" si="3"/>
        <v>14423.996400000002</v>
      </c>
      <c r="H54" s="3">
        <f t="shared" si="3"/>
        <v>14856.716292000003</v>
      </c>
      <c r="I54" s="3"/>
      <c r="K54" s="9" t="str">
        <f t="shared" si="1"/>
        <v>Administrativo</v>
      </c>
      <c r="L54" s="9"/>
      <c r="M54" s="183">
        <v>0</v>
      </c>
      <c r="N54" s="155">
        <v>0.5</v>
      </c>
      <c r="O54" s="155">
        <v>1</v>
      </c>
      <c r="P54" s="155">
        <v>1</v>
      </c>
      <c r="Q54" s="155">
        <v>1</v>
      </c>
      <c r="R54" s="5"/>
    </row>
    <row r="55" spans="1:18" x14ac:dyDescent="0.2">
      <c r="A55" s="10">
        <v>0</v>
      </c>
      <c r="B55" s="157" t="s">
        <v>299</v>
      </c>
      <c r="D55" s="3">
        <f t="shared" si="3"/>
        <v>0</v>
      </c>
      <c r="E55" s="3">
        <f t="shared" si="3"/>
        <v>0</v>
      </c>
      <c r="F55" s="3">
        <f t="shared" si="3"/>
        <v>7001.9400000000005</v>
      </c>
      <c r="G55" s="3">
        <f t="shared" si="3"/>
        <v>14423.996400000002</v>
      </c>
      <c r="H55" s="3">
        <f t="shared" si="3"/>
        <v>14856.716292000003</v>
      </c>
      <c r="I55" s="3"/>
      <c r="K55" s="9" t="str">
        <f t="shared" si="1"/>
        <v>Administrativo</v>
      </c>
      <c r="L55" s="9"/>
      <c r="M55" s="183">
        <v>0</v>
      </c>
      <c r="N55" s="155">
        <v>0</v>
      </c>
      <c r="O55" s="155">
        <v>0.5</v>
      </c>
      <c r="P55" s="155">
        <v>1</v>
      </c>
      <c r="Q55" s="155">
        <v>1</v>
      </c>
      <c r="R55" s="5"/>
    </row>
    <row r="56" spans="1:18" x14ac:dyDescent="0.2">
      <c r="B56" s="157"/>
      <c r="D56" s="3">
        <f t="shared" si="3"/>
        <v>0</v>
      </c>
      <c r="E56" s="3">
        <f t="shared" si="3"/>
        <v>0</v>
      </c>
      <c r="F56" s="3">
        <f t="shared" si="3"/>
        <v>0</v>
      </c>
      <c r="G56" s="3">
        <f t="shared" si="3"/>
        <v>0</v>
      </c>
      <c r="H56" s="3">
        <f t="shared" si="3"/>
        <v>0</v>
      </c>
      <c r="I56" s="3"/>
      <c r="K56" s="9">
        <f t="shared" si="1"/>
        <v>0</v>
      </c>
      <c r="L56" s="9"/>
      <c r="M56" s="183"/>
      <c r="N56" s="155"/>
      <c r="O56" s="155"/>
      <c r="P56" s="155"/>
      <c r="Q56" s="155"/>
      <c r="R56" s="5"/>
    </row>
    <row r="57" spans="1:18" x14ac:dyDescent="0.2">
      <c r="B57" s="157"/>
      <c r="D57" s="3">
        <f t="shared" si="3"/>
        <v>0</v>
      </c>
      <c r="E57" s="3">
        <f t="shared" si="3"/>
        <v>0</v>
      </c>
      <c r="F57" s="3">
        <f t="shared" si="3"/>
        <v>0</v>
      </c>
      <c r="G57" s="3">
        <f t="shared" si="3"/>
        <v>0</v>
      </c>
      <c r="H57" s="3">
        <f t="shared" si="3"/>
        <v>0</v>
      </c>
      <c r="I57" s="3"/>
      <c r="K57" s="9">
        <f t="shared" si="1"/>
        <v>0</v>
      </c>
      <c r="L57" s="9"/>
      <c r="M57" s="183"/>
      <c r="N57" s="155"/>
      <c r="O57" s="155"/>
      <c r="P57" s="155"/>
      <c r="Q57" s="155"/>
      <c r="R57" s="5"/>
    </row>
    <row r="58" spans="1:18" x14ac:dyDescent="0.2">
      <c r="B58" s="157"/>
      <c r="D58" s="3">
        <f>M58*M75</f>
        <v>0</v>
      </c>
      <c r="E58" s="3">
        <f>N58*N75</f>
        <v>0</v>
      </c>
      <c r="F58" s="3">
        <f>O58*O75</f>
        <v>0</v>
      </c>
      <c r="G58" s="3">
        <f>P58*P75</f>
        <v>0</v>
      </c>
      <c r="H58" s="3">
        <f>Q58*Q75</f>
        <v>0</v>
      </c>
      <c r="I58" s="3"/>
      <c r="K58" s="9">
        <f t="shared" si="1"/>
        <v>0</v>
      </c>
      <c r="L58" s="9"/>
      <c r="M58" s="183"/>
      <c r="N58" s="155"/>
      <c r="O58" s="155"/>
      <c r="P58" s="155"/>
      <c r="Q58" s="155"/>
      <c r="R58" s="5"/>
    </row>
    <row r="59" spans="1:18" x14ac:dyDescent="0.2">
      <c r="B59" s="2" t="s">
        <v>242</v>
      </c>
      <c r="D59" s="3">
        <f>+D8*M59</f>
        <v>23075</v>
      </c>
      <c r="E59" s="3">
        <f>+E8*N59</f>
        <v>47073</v>
      </c>
      <c r="F59" s="3">
        <f>+F8*O59</f>
        <v>95190.926250000004</v>
      </c>
      <c r="G59" s="3">
        <f>+G8*P59</f>
        <v>59479.719000000019</v>
      </c>
      <c r="H59" s="3">
        <f>+H8*Q59</f>
        <v>211982.16748800004</v>
      </c>
      <c r="I59" s="3"/>
      <c r="K59" s="9" t="str">
        <f t="shared" si="1"/>
        <v>Comisiones de ventas</v>
      </c>
      <c r="L59" s="9"/>
      <c r="M59" s="187">
        <v>0.05</v>
      </c>
      <c r="N59" s="187">
        <v>0.05</v>
      </c>
      <c r="O59" s="187">
        <v>0.05</v>
      </c>
      <c r="P59" s="187">
        <v>0.05</v>
      </c>
      <c r="Q59" s="187">
        <v>0.05</v>
      </c>
      <c r="R59" s="5"/>
    </row>
    <row r="60" spans="1:18" x14ac:dyDescent="0.2">
      <c r="B60" s="2" t="s">
        <v>7</v>
      </c>
      <c r="D60" s="3">
        <f>+$M$61*SUM(D42:D58)</f>
        <v>58579.200000000004</v>
      </c>
      <c r="E60" s="3">
        <f>+$M$61*SUM(E42:E58)</f>
        <v>73467.839999999997</v>
      </c>
      <c r="F60" s="3">
        <f>+$M$61*SUM(F42:F58)</f>
        <v>90541.449600000007</v>
      </c>
      <c r="G60" s="3">
        <f>+$M$61*SUM(G42:G58)</f>
        <v>101859.64003200001</v>
      </c>
      <c r="H60" s="3">
        <f>+$M$61*SUM(H42:H58)</f>
        <v>108156.89460576001</v>
      </c>
      <c r="I60" s="3"/>
      <c r="K60" s="9" t="s">
        <v>263</v>
      </c>
      <c r="L60" s="9"/>
      <c r="M60" s="154">
        <f>SUM(M42:M58)</f>
        <v>7.3</v>
      </c>
      <c r="N60" s="154">
        <f>SUM(N42:N58)</f>
        <v>9.5</v>
      </c>
      <c r="O60" s="154">
        <f>SUM(O42:O58)</f>
        <v>12</v>
      </c>
      <c r="P60" s="154">
        <f>SUM(P42:P58)</f>
        <v>13.5</v>
      </c>
      <c r="Q60" s="154">
        <f>SUM(Q42:Q58)</f>
        <v>14</v>
      </c>
    </row>
    <row r="61" spans="1:18" s="1" customFormat="1" x14ac:dyDescent="0.2">
      <c r="D61" s="6">
        <f>SUM(D42:D60)</f>
        <v>264714.2</v>
      </c>
      <c r="E61" s="6">
        <f>SUM(E42:E60)</f>
        <v>350127.83999999997</v>
      </c>
      <c r="F61" s="6">
        <f>SUM(F42:F60)</f>
        <v>468674.40585000004</v>
      </c>
      <c r="G61" s="6">
        <f>SUM(G42:G60)</f>
        <v>479650.73413200007</v>
      </c>
      <c r="H61" s="6">
        <f>SUM(H42:H60)</f>
        <v>658129.35773676005</v>
      </c>
      <c r="I61" s="6"/>
      <c r="K61" s="2" t="str">
        <f>+B60</f>
        <v>Seguridad social</v>
      </c>
      <c r="L61" s="2"/>
      <c r="M61" s="56">
        <v>0.32</v>
      </c>
    </row>
    <row r="62" spans="1:18" x14ac:dyDescent="0.2">
      <c r="B62" s="156"/>
      <c r="C62" s="156"/>
    </row>
    <row r="63" spans="1:18" x14ac:dyDescent="0.2">
      <c r="D63" s="3"/>
    </row>
    <row r="64" spans="1:18" x14ac:dyDescent="0.2">
      <c r="K64" s="1" t="str">
        <f>+K41</f>
        <v>Gastos de personal</v>
      </c>
      <c r="L64" s="1"/>
      <c r="M64" s="1" t="s">
        <v>6</v>
      </c>
      <c r="O64" s="38" t="s">
        <v>81</v>
      </c>
      <c r="P64" s="162">
        <v>0.03</v>
      </c>
      <c r="Q64" s="166"/>
      <c r="R64" s="1"/>
    </row>
    <row r="65" spans="2:18" x14ac:dyDescent="0.2">
      <c r="B65" s="1" t="s">
        <v>204</v>
      </c>
      <c r="C65" s="1"/>
      <c r="K65" s="9" t="str">
        <f>+K42</f>
        <v>Director general</v>
      </c>
      <c r="L65" s="9"/>
      <c r="M65" s="48">
        <v>30000</v>
      </c>
      <c r="N65" s="3">
        <f>+M65*(1+$P$64)</f>
        <v>30900</v>
      </c>
      <c r="O65" s="3">
        <f>+N65*(1+$P$64)</f>
        <v>31827</v>
      </c>
      <c r="P65" s="3">
        <f>+O65*(1+$P$64)</f>
        <v>32781.81</v>
      </c>
      <c r="Q65" s="3">
        <f>+P65*(1+$P$64)</f>
        <v>33765.264299999995</v>
      </c>
      <c r="R65" s="3"/>
    </row>
    <row r="66" spans="2:18" x14ac:dyDescent="0.2">
      <c r="B66" s="158" t="s">
        <v>205</v>
      </c>
      <c r="C66" s="158"/>
      <c r="K66" s="9" t="str">
        <f>+K43</f>
        <v>Director de Proyecto</v>
      </c>
      <c r="L66" s="9"/>
      <c r="M66" s="48">
        <v>30000</v>
      </c>
      <c r="N66" s="3">
        <f t="shared" ref="N66:Q74" si="4">+M66*(1+$P$64)</f>
        <v>30900</v>
      </c>
      <c r="O66" s="3">
        <f t="shared" si="4"/>
        <v>31827</v>
      </c>
      <c r="P66" s="3">
        <f t="shared" si="4"/>
        <v>32781.81</v>
      </c>
      <c r="Q66" s="3">
        <f t="shared" si="4"/>
        <v>33765.264299999995</v>
      </c>
      <c r="R66" s="3"/>
    </row>
    <row r="67" spans="2:18" x14ac:dyDescent="0.2">
      <c r="B67" s="158" t="s">
        <v>206</v>
      </c>
      <c r="C67" s="158"/>
      <c r="D67" s="3">
        <f>+SUMPRODUCT($A$20:$A$36,D20:D36)</f>
        <v>22000</v>
      </c>
      <c r="E67" s="3">
        <f>+SUMPRODUCT($A$20:$A$36,E20:E36)</f>
        <v>46000</v>
      </c>
      <c r="F67" s="3">
        <f>+SUMPRODUCT($A$20:$A$36,F20:F36)</f>
        <v>66000</v>
      </c>
      <c r="G67" s="3">
        <f>+SUMPRODUCT($A$20:$A$36,G20:G36)</f>
        <v>86000</v>
      </c>
      <c r="H67" s="3">
        <f>+SUMPRODUCT($A$20:$A$36,H20:H36)</f>
        <v>116000</v>
      </c>
      <c r="K67" s="9" t="str">
        <f>+K44</f>
        <v>Director de Arte (diseñador)</v>
      </c>
      <c r="L67" s="9"/>
      <c r="M67" s="48">
        <v>30000</v>
      </c>
      <c r="N67" s="3">
        <f t="shared" si="4"/>
        <v>30900</v>
      </c>
      <c r="O67" s="3">
        <f t="shared" si="4"/>
        <v>31827</v>
      </c>
      <c r="P67" s="3">
        <f t="shared" si="4"/>
        <v>32781.81</v>
      </c>
      <c r="Q67" s="3">
        <f t="shared" si="4"/>
        <v>33765.264299999995</v>
      </c>
      <c r="R67" s="3"/>
    </row>
    <row r="68" spans="2:18" x14ac:dyDescent="0.2">
      <c r="B68" s="158" t="s">
        <v>207</v>
      </c>
      <c r="C68" s="158"/>
      <c r="D68" s="3">
        <f>+SUMPRODUCT($A$42:$A$59,D42:D59)</f>
        <v>63700</v>
      </c>
      <c r="E68" s="3">
        <f>+SUMPRODUCT($A$42:$A$59,E42:E59)</f>
        <v>65611</v>
      </c>
      <c r="F68" s="3">
        <f>+SUMPRODUCT($A$42:$A$59,F42:F59)</f>
        <v>67579.33</v>
      </c>
      <c r="G68" s="3">
        <f>+SUMPRODUCT($A$42:$A$59,G42:G59)</f>
        <v>69606.709900000002</v>
      </c>
      <c r="H68" s="3">
        <f>+SUMPRODUCT($A$42:$A$59,H42:H59)</f>
        <v>71694.911197000009</v>
      </c>
      <c r="K68" s="9" t="str">
        <f>+K45</f>
        <v>Programador dispositivos</v>
      </c>
      <c r="L68" s="9"/>
      <c r="M68" s="48">
        <v>24500</v>
      </c>
      <c r="N68" s="3">
        <f t="shared" si="4"/>
        <v>25235</v>
      </c>
      <c r="O68" s="3">
        <f t="shared" si="4"/>
        <v>25992.05</v>
      </c>
      <c r="P68" s="3">
        <f t="shared" si="4"/>
        <v>26771.8115</v>
      </c>
      <c r="Q68" s="3">
        <f t="shared" si="4"/>
        <v>27574.965844999999</v>
      </c>
      <c r="R68" s="3"/>
    </row>
    <row r="69" spans="2:18" x14ac:dyDescent="0.2">
      <c r="B69" s="158" t="s">
        <v>228</v>
      </c>
      <c r="D69" s="3">
        <f>+(D68*$M$61)-($M$61*($A$42*D42)+($A$43*D43))</f>
        <v>20384</v>
      </c>
      <c r="E69" s="3">
        <f>+(E68*$M$61)-($M$61*($A$42*E42)+($A$43*E43))</f>
        <v>20995.52</v>
      </c>
      <c r="F69" s="3">
        <f>+(F68*$M$61)-($M$61*($A$42*F42)+($A$43*F43))</f>
        <v>21625.385600000001</v>
      </c>
      <c r="G69" s="3">
        <f>+(G68*$M$61)-($M$61*($A$42*G42)+($A$43*G43))</f>
        <v>22274.147168</v>
      </c>
      <c r="H69" s="3">
        <f>+(H68*$M$61)-($M$61*($A$42*H42)+($A$43*H43))</f>
        <v>22942.371583040003</v>
      </c>
      <c r="K69" s="9" t="s">
        <v>296</v>
      </c>
      <c r="L69" s="9"/>
      <c r="M69" s="48">
        <v>24000</v>
      </c>
      <c r="N69" s="3">
        <f t="shared" si="4"/>
        <v>24720</v>
      </c>
      <c r="O69" s="3">
        <f t="shared" si="4"/>
        <v>25461.600000000002</v>
      </c>
      <c r="P69" s="3">
        <f t="shared" si="4"/>
        <v>26225.448000000004</v>
      </c>
      <c r="Q69" s="3">
        <f t="shared" si="4"/>
        <v>27012.211440000006</v>
      </c>
      <c r="R69" s="3"/>
    </row>
    <row r="70" spans="2:18" x14ac:dyDescent="0.2">
      <c r="B70" s="1" t="s">
        <v>0</v>
      </c>
      <c r="C70" s="1"/>
      <c r="D70" s="6">
        <f>SUM(D66:D69)</f>
        <v>106084</v>
      </c>
      <c r="E70" s="6">
        <f>SUM(E66:E69)</f>
        <v>132606.51999999999</v>
      </c>
      <c r="F70" s="6">
        <f>SUM(F66:F69)</f>
        <v>155204.71560000003</v>
      </c>
      <c r="G70" s="6">
        <f>SUM(G66:G69)</f>
        <v>177880.85706800001</v>
      </c>
      <c r="H70" s="6">
        <f>SUM(H66:H69)</f>
        <v>210637.28278004</v>
      </c>
      <c r="K70" s="9" t="str">
        <f>+K46</f>
        <v>Programador web</v>
      </c>
      <c r="L70" s="9"/>
      <c r="M70" s="48">
        <v>24500</v>
      </c>
      <c r="N70" s="3">
        <f t="shared" si="4"/>
        <v>25235</v>
      </c>
      <c r="O70" s="3">
        <f t="shared" si="4"/>
        <v>25992.05</v>
      </c>
      <c r="P70" s="3">
        <f t="shared" si="4"/>
        <v>26771.8115</v>
      </c>
      <c r="Q70" s="3">
        <f t="shared" si="4"/>
        <v>27574.965844999999</v>
      </c>
      <c r="R70" s="3"/>
    </row>
    <row r="71" spans="2:18" x14ac:dyDescent="0.2">
      <c r="D71" s="3">
        <f>+Capex!D17</f>
        <v>179084</v>
      </c>
      <c r="E71" s="3">
        <f>+Capex!E17</f>
        <v>135246.51999999999</v>
      </c>
      <c r="F71" s="3">
        <f>+Capex!F17</f>
        <v>155204.71560000003</v>
      </c>
      <c r="G71" s="3">
        <f>+Capex!G17</f>
        <v>179680.85706800001</v>
      </c>
      <c r="H71" s="3">
        <f>+Capex!H17</f>
        <v>211237.28278004</v>
      </c>
      <c r="K71" s="9" t="str">
        <f>+K47</f>
        <v>Maquetador/programador web</v>
      </c>
      <c r="L71" s="9"/>
      <c r="M71" s="48">
        <v>24500</v>
      </c>
      <c r="N71" s="3">
        <f t="shared" si="4"/>
        <v>25235</v>
      </c>
      <c r="O71" s="3">
        <f t="shared" si="4"/>
        <v>25992.05</v>
      </c>
      <c r="P71" s="3">
        <f t="shared" si="4"/>
        <v>26771.8115</v>
      </c>
      <c r="Q71" s="3">
        <f t="shared" si="4"/>
        <v>27574.965844999999</v>
      </c>
      <c r="R71" s="3"/>
    </row>
    <row r="72" spans="2:18" x14ac:dyDescent="0.2">
      <c r="D72" s="37">
        <f>+(D68+D69)/D71</f>
        <v>0.46952268209331932</v>
      </c>
      <c r="E72" s="37">
        <f>+(E68+E69)/E71</f>
        <v>0.64036043219448469</v>
      </c>
      <c r="F72" s="37">
        <f>+(F68+F69)/F71</f>
        <v>0.57475518868835185</v>
      </c>
      <c r="G72" s="37">
        <f>+(G68+G69)/G71</f>
        <v>0.51135584818157787</v>
      </c>
      <c r="H72" s="37">
        <f>+(H68+H69)/H71</f>
        <v>0.44801410780588952</v>
      </c>
      <c r="K72" s="9" t="str">
        <f>+K48</f>
        <v>Administrativo</v>
      </c>
      <c r="L72" s="9"/>
      <c r="M72" s="48">
        <v>13200</v>
      </c>
      <c r="N72" s="3">
        <f t="shared" si="4"/>
        <v>13596</v>
      </c>
      <c r="O72" s="3">
        <f t="shared" si="4"/>
        <v>14003.880000000001</v>
      </c>
      <c r="P72" s="3">
        <f t="shared" si="4"/>
        <v>14423.996400000002</v>
      </c>
      <c r="Q72" s="3">
        <f t="shared" si="4"/>
        <v>14856.716292000003</v>
      </c>
      <c r="R72" s="3"/>
    </row>
    <row r="73" spans="2:18" x14ac:dyDescent="0.2">
      <c r="D73" s="3">
        <f>+D68+D69</f>
        <v>84084</v>
      </c>
      <c r="E73" s="3">
        <f>+E68+E69</f>
        <v>86606.52</v>
      </c>
      <c r="F73" s="3">
        <f>+F68+F69</f>
        <v>89204.715599999996</v>
      </c>
      <c r="G73" s="3">
        <f>+G68+G69</f>
        <v>91880.857067999998</v>
      </c>
      <c r="H73" s="3">
        <f>+H68+H69</f>
        <v>94637.282780040012</v>
      </c>
      <c r="K73" s="9" t="str">
        <f>+K49</f>
        <v>Editor de Contenidos</v>
      </c>
      <c r="L73" s="9"/>
      <c r="M73" s="48">
        <v>18000</v>
      </c>
      <c r="N73" s="3">
        <f t="shared" si="4"/>
        <v>18540</v>
      </c>
      <c r="O73" s="3">
        <f t="shared" si="4"/>
        <v>19096.2</v>
      </c>
      <c r="P73" s="3">
        <f t="shared" si="4"/>
        <v>19669.086000000003</v>
      </c>
      <c r="Q73" s="3">
        <f t="shared" si="4"/>
        <v>20259.158580000003</v>
      </c>
      <c r="R73" s="3"/>
    </row>
    <row r="74" spans="2:18" x14ac:dyDescent="0.2">
      <c r="K74" s="9" t="str">
        <f>+K50</f>
        <v>Comercial senior</v>
      </c>
      <c r="L74" s="9"/>
      <c r="M74" s="48">
        <v>30000</v>
      </c>
      <c r="N74" s="3">
        <f t="shared" si="4"/>
        <v>30900</v>
      </c>
      <c r="O74" s="3">
        <f t="shared" si="4"/>
        <v>31827</v>
      </c>
      <c r="P74" s="3">
        <f t="shared" si="4"/>
        <v>32781.81</v>
      </c>
      <c r="Q74" s="3">
        <f t="shared" si="4"/>
        <v>33765.264299999995</v>
      </c>
    </row>
    <row r="75" spans="2:18" x14ac:dyDescent="0.2">
      <c r="K75" s="9" t="s">
        <v>253</v>
      </c>
      <c r="L75" s="9"/>
      <c r="M75" s="48">
        <v>18000</v>
      </c>
      <c r="N75" s="3">
        <f>+M75*(1+$P$64)</f>
        <v>18540</v>
      </c>
      <c r="O75" s="3">
        <f>+N75*(1+$P$64)</f>
        <v>19096.2</v>
      </c>
      <c r="P75" s="3">
        <f>+O75*(1+$P$64)</f>
        <v>19669.086000000003</v>
      </c>
      <c r="Q75" s="3">
        <f t="shared" ref="Q75:Q86" si="5">+P75*(1+$P$64)</f>
        <v>20259.158580000003</v>
      </c>
    </row>
    <row r="76" spans="2:18" x14ac:dyDescent="0.2">
      <c r="E76" s="3"/>
      <c r="K76" s="9" t="str">
        <f>+K51</f>
        <v>Comercial</v>
      </c>
      <c r="L76" s="9"/>
      <c r="M76" s="48">
        <v>18000</v>
      </c>
      <c r="N76" s="3">
        <f t="shared" ref="N76:P86" si="6">+M76*(1+$P$64)</f>
        <v>18540</v>
      </c>
      <c r="O76" s="3">
        <f t="shared" si="6"/>
        <v>19096.2</v>
      </c>
      <c r="P76" s="3">
        <f t="shared" si="6"/>
        <v>19669.086000000003</v>
      </c>
      <c r="Q76" s="3">
        <f t="shared" si="5"/>
        <v>20259.158580000003</v>
      </c>
    </row>
    <row r="77" spans="2:18" x14ac:dyDescent="0.2">
      <c r="E77" s="3"/>
      <c r="K77" s="9" t="str">
        <f t="shared" ref="K77:K82" si="7">+K52</f>
        <v>Comercial</v>
      </c>
      <c r="L77" s="9"/>
      <c r="M77" s="48">
        <v>18000</v>
      </c>
      <c r="N77" s="3">
        <f t="shared" si="6"/>
        <v>18540</v>
      </c>
      <c r="O77" s="3">
        <f t="shared" si="6"/>
        <v>19096.2</v>
      </c>
      <c r="P77" s="3">
        <f t="shared" si="6"/>
        <v>19669.086000000003</v>
      </c>
      <c r="Q77" s="3">
        <f t="shared" si="5"/>
        <v>20259.158580000003</v>
      </c>
    </row>
    <row r="78" spans="2:18" x14ac:dyDescent="0.2">
      <c r="E78" s="3"/>
      <c r="K78" s="9" t="str">
        <f t="shared" si="7"/>
        <v>Administrativo</v>
      </c>
      <c r="M78" s="48">
        <v>13200</v>
      </c>
      <c r="N78" s="3">
        <f t="shared" si="6"/>
        <v>13596</v>
      </c>
      <c r="O78" s="3">
        <f t="shared" si="6"/>
        <v>14003.880000000001</v>
      </c>
      <c r="P78" s="3">
        <f t="shared" si="6"/>
        <v>14423.996400000002</v>
      </c>
      <c r="Q78" s="3">
        <f t="shared" si="5"/>
        <v>14856.716292000003</v>
      </c>
    </row>
    <row r="79" spans="2:18" x14ac:dyDescent="0.2">
      <c r="E79" s="3"/>
      <c r="K79" s="9" t="str">
        <f t="shared" si="7"/>
        <v>Administrativo</v>
      </c>
      <c r="M79" s="48">
        <v>13200</v>
      </c>
      <c r="N79" s="3">
        <f t="shared" si="6"/>
        <v>13596</v>
      </c>
      <c r="O79" s="3">
        <f t="shared" si="6"/>
        <v>14003.880000000001</v>
      </c>
      <c r="P79" s="3">
        <f t="shared" si="6"/>
        <v>14423.996400000002</v>
      </c>
      <c r="Q79" s="3">
        <f t="shared" si="5"/>
        <v>14856.716292000003</v>
      </c>
    </row>
    <row r="80" spans="2:18" x14ac:dyDescent="0.2">
      <c r="E80" s="3"/>
      <c r="K80" s="9" t="str">
        <f t="shared" si="7"/>
        <v>Administrativo</v>
      </c>
      <c r="M80" s="48">
        <v>13200</v>
      </c>
      <c r="N80" s="3">
        <f t="shared" si="6"/>
        <v>13596</v>
      </c>
      <c r="O80" s="3">
        <f t="shared" si="6"/>
        <v>14003.880000000001</v>
      </c>
      <c r="P80" s="3">
        <f t="shared" si="6"/>
        <v>14423.996400000002</v>
      </c>
      <c r="Q80" s="3">
        <f t="shared" si="5"/>
        <v>14856.716292000003</v>
      </c>
    </row>
    <row r="81" spans="5:17" x14ac:dyDescent="0.2">
      <c r="E81" s="3"/>
      <c r="K81" s="9">
        <f t="shared" si="7"/>
        <v>0</v>
      </c>
      <c r="M81" s="48"/>
      <c r="N81" s="3">
        <f t="shared" si="6"/>
        <v>0</v>
      </c>
      <c r="O81" s="3">
        <f t="shared" si="6"/>
        <v>0</v>
      </c>
      <c r="P81" s="3">
        <f t="shared" si="6"/>
        <v>0</v>
      </c>
      <c r="Q81" s="3">
        <f t="shared" si="5"/>
        <v>0</v>
      </c>
    </row>
    <row r="82" spans="5:17" x14ac:dyDescent="0.2">
      <c r="E82" s="3"/>
      <c r="K82" s="9">
        <f t="shared" si="7"/>
        <v>0</v>
      </c>
      <c r="M82" s="48"/>
      <c r="N82" s="3">
        <f t="shared" si="6"/>
        <v>0</v>
      </c>
      <c r="O82" s="3">
        <f t="shared" si="6"/>
        <v>0</v>
      </c>
      <c r="P82" s="3">
        <f t="shared" si="6"/>
        <v>0</v>
      </c>
      <c r="Q82" s="3">
        <f t="shared" si="5"/>
        <v>0</v>
      </c>
    </row>
    <row r="83" spans="5:17" x14ac:dyDescent="0.2">
      <c r="E83" s="3"/>
      <c r="K83" s="9"/>
      <c r="M83" s="48"/>
      <c r="N83" s="3"/>
      <c r="O83" s="3"/>
      <c r="P83" s="3"/>
      <c r="Q83" s="3"/>
    </row>
    <row r="84" spans="5:17" x14ac:dyDescent="0.2">
      <c r="E84" s="3"/>
      <c r="K84" s="9"/>
      <c r="M84" s="48"/>
      <c r="N84" s="3"/>
      <c r="O84" s="3"/>
      <c r="P84" s="3"/>
      <c r="Q84" s="3"/>
    </row>
    <row r="85" spans="5:17" x14ac:dyDescent="0.2">
      <c r="K85" s="9" t="str">
        <f>+K59</f>
        <v>Comisiones de ventas</v>
      </c>
      <c r="M85" s="48"/>
      <c r="N85" s="3">
        <f t="shared" si="6"/>
        <v>0</v>
      </c>
      <c r="O85" s="3">
        <f t="shared" si="6"/>
        <v>0</v>
      </c>
      <c r="P85" s="3">
        <f t="shared" si="6"/>
        <v>0</v>
      </c>
      <c r="Q85" s="3">
        <f t="shared" si="5"/>
        <v>0</v>
      </c>
    </row>
    <row r="86" spans="5:17" x14ac:dyDescent="0.2">
      <c r="K86" s="9" t="str">
        <f>+K60</f>
        <v>Total headcount medio</v>
      </c>
      <c r="M86" s="48"/>
      <c r="N86" s="3">
        <f t="shared" si="6"/>
        <v>0</v>
      </c>
      <c r="O86" s="3">
        <f t="shared" si="6"/>
        <v>0</v>
      </c>
      <c r="P86" s="3">
        <f t="shared" si="6"/>
        <v>0</v>
      </c>
      <c r="Q86" s="3">
        <f t="shared" si="5"/>
        <v>0</v>
      </c>
    </row>
    <row r="87" spans="5:17" x14ac:dyDescent="0.2">
      <c r="K87" s="9" t="str">
        <f>+K61</f>
        <v>Seguridad social</v>
      </c>
    </row>
    <row r="88" spans="5:17" x14ac:dyDescent="0.2">
      <c r="K88" s="9"/>
    </row>
  </sheetData>
  <phoneticPr fontId="0" type="noConversion"/>
  <printOptions horizontalCentered="1" verticalCentered="1"/>
  <pageMargins left="0.78740157480314965" right="0.78740157480314965" top="0.98425196850393704" bottom="0.98425196850393704" header="0" footer="0"/>
  <pageSetup paperSize="9" scale="48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9"/>
  <sheetViews>
    <sheetView tabSelected="1" zoomScaleNormal="100" workbookViewId="0">
      <pane xSplit="2" ySplit="4" topLeftCell="C20" activePane="bottomRight" state="frozen"/>
      <selection activeCell="F15" sqref="F15"/>
      <selection pane="topRight" activeCell="F15" sqref="F15"/>
      <selection pane="bottomLeft" activeCell="F15" sqref="F15"/>
      <selection pane="bottomRight" activeCell="F15" sqref="F15"/>
    </sheetView>
  </sheetViews>
  <sheetFormatPr baseColWidth="10" defaultRowHeight="12.75" x14ac:dyDescent="0.2"/>
  <cols>
    <col min="1" max="1" width="2.5703125" style="2" customWidth="1"/>
    <col min="2" max="2" width="33.140625" style="2" bestFit="1" customWidth="1"/>
    <col min="3" max="3" width="10.5703125" style="2" customWidth="1"/>
    <col min="4" max="16384" width="11.42578125" style="2"/>
  </cols>
  <sheetData>
    <row r="1" spans="1:17" s="1" customFormat="1" x14ac:dyDescent="0.2">
      <c r="A1" s="1" t="s">
        <v>17</v>
      </c>
    </row>
    <row r="2" spans="1:17" x14ac:dyDescent="0.2">
      <c r="A2" s="2" t="s">
        <v>104</v>
      </c>
    </row>
    <row r="4" spans="1:17" s="51" customFormat="1" x14ac:dyDescent="0.2">
      <c r="C4" s="38"/>
      <c r="D4" s="38" t="str">
        <f>+Costes!D3</f>
        <v>Año 1</v>
      </c>
      <c r="E4" s="38" t="str">
        <f>+Costes!E3</f>
        <v>Año 2</v>
      </c>
      <c r="F4" s="38" t="str">
        <f>+Costes!F3</f>
        <v>Año 3</v>
      </c>
      <c r="G4" s="38" t="str">
        <f>+Costes!G3</f>
        <v>Año 4</v>
      </c>
      <c r="H4" s="38" t="str">
        <f>+Costes!H3</f>
        <v>Año 5</v>
      </c>
    </row>
    <row r="5" spans="1:17" x14ac:dyDescent="0.2">
      <c r="B5" s="7" t="s">
        <v>20</v>
      </c>
      <c r="D5" s="8"/>
      <c r="E5" s="3"/>
      <c r="F5" s="3"/>
      <c r="G5" s="3"/>
      <c r="H5" s="3"/>
    </row>
    <row r="6" spans="1:17" s="9" customFormat="1" x14ac:dyDescent="0.2">
      <c r="B6" s="9" t="str">
        <f>+B21</f>
        <v>Gastos de establecimiento</v>
      </c>
      <c r="C6" s="52">
        <f>+C21</f>
        <v>0</v>
      </c>
      <c r="D6" s="52">
        <v>3000</v>
      </c>
      <c r="E6" s="52"/>
      <c r="F6" s="52"/>
      <c r="G6" s="52"/>
      <c r="H6" s="52"/>
    </row>
    <row r="7" spans="1:17" s="9" customFormat="1" x14ac:dyDescent="0.2">
      <c r="B7" s="9" t="s">
        <v>229</v>
      </c>
      <c r="D7" s="52">
        <v>37000</v>
      </c>
      <c r="E7" s="52">
        <v>0</v>
      </c>
      <c r="F7" s="52">
        <v>0</v>
      </c>
      <c r="G7" s="52">
        <v>0</v>
      </c>
      <c r="H7" s="52">
        <v>0</v>
      </c>
    </row>
    <row r="8" spans="1:17" s="9" customFormat="1" x14ac:dyDescent="0.2">
      <c r="B8" s="9" t="s">
        <v>254</v>
      </c>
      <c r="D8" s="52">
        <v>5000</v>
      </c>
      <c r="E8" s="52"/>
      <c r="F8" s="52"/>
      <c r="G8" s="52"/>
      <c r="H8" s="52"/>
    </row>
    <row r="9" spans="1:17" s="9" customFormat="1" x14ac:dyDescent="0.2">
      <c r="B9" s="9" t="s">
        <v>208</v>
      </c>
      <c r="D9" s="50">
        <f>+Costes!D70</f>
        <v>106084</v>
      </c>
      <c r="E9" s="50">
        <f>+Costes!E70</f>
        <v>132606.51999999999</v>
      </c>
      <c r="F9" s="50">
        <f>+Costes!F70</f>
        <v>155204.71560000003</v>
      </c>
      <c r="G9" s="50">
        <f>+Costes!G70</f>
        <v>177880.85706800001</v>
      </c>
      <c r="H9" s="50">
        <f>+Costes!H70</f>
        <v>210637.28278004</v>
      </c>
    </row>
    <row r="10" spans="1:17" x14ac:dyDescent="0.2">
      <c r="B10" s="7" t="s">
        <v>105</v>
      </c>
      <c r="C10" s="48">
        <f>+C25</f>
        <v>0</v>
      </c>
      <c r="D10" s="3">
        <f>SUM(D7:D9)</f>
        <v>148084</v>
      </c>
      <c r="E10" s="3">
        <f>SUM(E7:E9)</f>
        <v>132606.51999999999</v>
      </c>
      <c r="F10" s="3">
        <f>SUM(F7:F9)</f>
        <v>155204.71560000003</v>
      </c>
      <c r="G10" s="3">
        <f>SUM(G7:G9)</f>
        <v>177880.85706800001</v>
      </c>
      <c r="H10" s="3">
        <f>SUM(H7:H9)</f>
        <v>210637.28278004</v>
      </c>
      <c r="L10" s="3"/>
      <c r="M10" s="3"/>
      <c r="N10" s="3"/>
      <c r="O10" s="3"/>
      <c r="P10" s="3"/>
      <c r="Q10" s="3"/>
    </row>
    <row r="11" spans="1:17" x14ac:dyDescent="0.2">
      <c r="B11" s="2" t="s">
        <v>230</v>
      </c>
      <c r="D11" s="52"/>
      <c r="E11" s="48"/>
      <c r="F11" s="48"/>
      <c r="G11" s="48"/>
      <c r="H11" s="48"/>
      <c r="L11" s="3"/>
      <c r="M11" s="3"/>
      <c r="N11" s="3"/>
      <c r="O11" s="3"/>
      <c r="P11" s="3"/>
      <c r="Q11" s="3"/>
    </row>
    <row r="12" spans="1:17" x14ac:dyDescent="0.2">
      <c r="B12" s="2" t="s">
        <v>18</v>
      </c>
      <c r="D12" s="52">
        <v>8000</v>
      </c>
      <c r="E12" s="48">
        <f>500*(SUM(Costes!N42:N58)-SUM(Costes!M42:M58))</f>
        <v>1100</v>
      </c>
      <c r="F12" s="48">
        <f>500*(SUM(Costes!O42:O58)-SUM(Costes!N42:N58))</f>
        <v>1250</v>
      </c>
      <c r="G12" s="48">
        <f>500*(SUM(Costes!P42:P58)-SUM(Costes!O42:O58))</f>
        <v>750</v>
      </c>
      <c r="H12" s="48">
        <f>500*(SUM(Costes!Q42:Q58)-SUM(Costes!P42:P58))</f>
        <v>250</v>
      </c>
      <c r="L12" s="37"/>
      <c r="M12" s="37"/>
      <c r="N12" s="37"/>
      <c r="O12" s="37"/>
      <c r="P12" s="37"/>
    </row>
    <row r="13" spans="1:17" x14ac:dyDescent="0.2">
      <c r="B13" s="2" t="s">
        <v>106</v>
      </c>
      <c r="D13" s="52">
        <v>20000</v>
      </c>
      <c r="E13" s="48">
        <f>700*(SUM(Costes!N42:N58)-SUM(Costes!M42:M58))</f>
        <v>1540.0000000000002</v>
      </c>
      <c r="F13" s="48">
        <f>700*(SUM(Costes!O42:O58)-SUM(Costes!N42:N58))</f>
        <v>1750</v>
      </c>
      <c r="G13" s="48">
        <f>700*(SUM(Costes!P42:P58)-SUM(Costes!O42:O58))</f>
        <v>1050</v>
      </c>
      <c r="H13" s="48">
        <f>700*(SUM(Costes!Q42:Q58)-SUM(Costes!P42:P58))</f>
        <v>350</v>
      </c>
    </row>
    <row r="14" spans="1:17" x14ac:dyDescent="0.2">
      <c r="B14" s="9" t="s">
        <v>278</v>
      </c>
      <c r="D14" s="52"/>
      <c r="E14" s="48"/>
      <c r="F14" s="48"/>
      <c r="G14" s="48"/>
      <c r="H14" s="48"/>
    </row>
    <row r="15" spans="1:17" x14ac:dyDescent="0.2">
      <c r="B15" s="7" t="s">
        <v>107</v>
      </c>
      <c r="C15" s="48">
        <v>0</v>
      </c>
      <c r="D15" s="3">
        <f>SUM(D11:D14)</f>
        <v>28000</v>
      </c>
      <c r="E15" s="3">
        <f>SUM(E11:E14)</f>
        <v>2640</v>
      </c>
      <c r="F15" s="3"/>
      <c r="G15" s="3">
        <f>SUM(G11:G14)</f>
        <v>1800</v>
      </c>
      <c r="H15" s="3">
        <f>SUM(H11:H14)</f>
        <v>600</v>
      </c>
    </row>
    <row r="16" spans="1:17" x14ac:dyDescent="0.2">
      <c r="B16" s="2" t="str">
        <f>+'Balance histórico'!B8</f>
        <v>Inmovilizaciones financieras</v>
      </c>
      <c r="C16" s="48">
        <f>+C31</f>
        <v>0</v>
      </c>
      <c r="D16" s="52">
        <v>0</v>
      </c>
      <c r="E16" s="52">
        <v>0</v>
      </c>
      <c r="F16" s="48">
        <v>0</v>
      </c>
      <c r="G16" s="48">
        <v>0</v>
      </c>
      <c r="H16" s="48">
        <v>0</v>
      </c>
    </row>
    <row r="17" spans="2:9" s="1" customFormat="1" x14ac:dyDescent="0.2">
      <c r="B17" s="1" t="s">
        <v>0</v>
      </c>
      <c r="D17" s="6">
        <f>+D6+D10+D15+D16</f>
        <v>179084</v>
      </c>
      <c r="E17" s="6">
        <f>+E6+E10+E15+E16</f>
        <v>135246.51999999999</v>
      </c>
      <c r="F17" s="6">
        <f>+F6+F10+F15+F16</f>
        <v>155204.71560000003</v>
      </c>
      <c r="G17" s="6">
        <f>+G6+G10+G15+G16</f>
        <v>179680.85706800001</v>
      </c>
      <c r="H17" s="6">
        <f>+H6+H10+H15+H16</f>
        <v>211237.28278004</v>
      </c>
    </row>
    <row r="18" spans="2:9" x14ac:dyDescent="0.2">
      <c r="D18" s="37">
        <f>+D10/D17</f>
        <v>0.82689687520939892</v>
      </c>
      <c r="E18" s="37">
        <f>+E10/E17</f>
        <v>0.98048008924739805</v>
      </c>
      <c r="F18" s="37">
        <f>+F10/F17</f>
        <v>1</v>
      </c>
      <c r="G18" s="37">
        <f>+G10/G17</f>
        <v>0.98998223834540822</v>
      </c>
      <c r="H18" s="37">
        <f>+H10/H17</f>
        <v>0.99715959232147111</v>
      </c>
    </row>
    <row r="19" spans="2:9" x14ac:dyDescent="0.2">
      <c r="D19" s="3"/>
      <c r="E19" s="3"/>
      <c r="F19" s="3"/>
      <c r="G19" s="3"/>
      <c r="H19" s="3"/>
    </row>
    <row r="20" spans="2:9" x14ac:dyDescent="0.2">
      <c r="B20" s="7" t="s">
        <v>19</v>
      </c>
      <c r="D20" s="8"/>
      <c r="E20" s="3"/>
      <c r="F20" s="3"/>
      <c r="G20" s="3"/>
      <c r="H20" s="3"/>
    </row>
    <row r="21" spans="2:9" s="7" customFormat="1" x14ac:dyDescent="0.2">
      <c r="B21" s="7" t="str">
        <f>+'Balance histórico'!B5</f>
        <v>Gastos de establecimiento</v>
      </c>
      <c r="C21" s="8">
        <f>+'Balance histórico'!D5</f>
        <v>0</v>
      </c>
      <c r="D21" s="8">
        <f>+C21+D6-D36</f>
        <v>0</v>
      </c>
      <c r="E21" s="8">
        <f>+D21+E6-E36</f>
        <v>0</v>
      </c>
      <c r="F21" s="8">
        <f>+E21+F6-F36</f>
        <v>0</v>
      </c>
      <c r="G21" s="8">
        <f>+F21+G6-G36</f>
        <v>0</v>
      </c>
      <c r="H21" s="8">
        <f>+G21+H6-H36</f>
        <v>0</v>
      </c>
    </row>
    <row r="22" spans="2:9" s="9" customFormat="1" x14ac:dyDescent="0.2">
      <c r="B22" s="9" t="str">
        <f t="shared" ref="B22:B30" si="0">+B7</f>
        <v>Aplicaciones informáticas</v>
      </c>
      <c r="D22" s="8"/>
      <c r="E22" s="8"/>
      <c r="F22" s="8"/>
      <c r="G22" s="8"/>
      <c r="H22" s="8"/>
      <c r="I22" s="12"/>
    </row>
    <row r="23" spans="2:9" s="9" customFormat="1" x14ac:dyDescent="0.2">
      <c r="B23" s="9" t="str">
        <f t="shared" si="0"/>
        <v>Certificaciones</v>
      </c>
      <c r="D23" s="8"/>
      <c r="E23" s="8"/>
      <c r="F23" s="8"/>
      <c r="G23" s="8"/>
      <c r="H23" s="8"/>
      <c r="I23" s="12"/>
    </row>
    <row r="24" spans="2:9" s="9" customFormat="1" x14ac:dyDescent="0.2">
      <c r="B24" s="9" t="str">
        <f t="shared" si="0"/>
        <v>Gastos I+D</v>
      </c>
      <c r="D24" s="8"/>
      <c r="E24" s="8"/>
      <c r="F24" s="8"/>
      <c r="G24" s="8"/>
      <c r="H24" s="8"/>
      <c r="I24" s="12"/>
    </row>
    <row r="25" spans="2:9" x14ac:dyDescent="0.2">
      <c r="B25" s="7" t="str">
        <f t="shared" si="0"/>
        <v>Total inversiones inmateriales</v>
      </c>
      <c r="C25" s="3">
        <f>+'Balance histórico'!D6</f>
        <v>0</v>
      </c>
      <c r="D25" s="8">
        <f>+C25+D10-D40</f>
        <v>113533.86666666667</v>
      </c>
      <c r="E25" s="8">
        <f>+D25+E10-E40</f>
        <v>185068.94933333332</v>
      </c>
      <c r="F25" s="8">
        <f>+E25+F10-F40</f>
        <v>248161.28448000003</v>
      </c>
      <c r="G25" s="8">
        <f>+F25+G10-G40</f>
        <v>310686.92301440006</v>
      </c>
      <c r="H25" s="8">
        <f>+G25+H10-H40</f>
        <v>363841.53070483205</v>
      </c>
      <c r="I25" s="5"/>
    </row>
    <row r="26" spans="2:9" s="9" customFormat="1" x14ac:dyDescent="0.2">
      <c r="B26" s="9" t="str">
        <f t="shared" si="0"/>
        <v>Obras</v>
      </c>
      <c r="D26" s="8"/>
      <c r="E26" s="8"/>
      <c r="F26" s="8"/>
      <c r="G26" s="8"/>
      <c r="H26" s="8"/>
      <c r="I26" s="12"/>
    </row>
    <row r="27" spans="2:9" s="9" customFormat="1" x14ac:dyDescent="0.2">
      <c r="B27" s="9" t="str">
        <f t="shared" si="0"/>
        <v>Mobiliario</v>
      </c>
      <c r="D27" s="8"/>
      <c r="E27" s="8"/>
      <c r="F27" s="8"/>
      <c r="G27" s="8"/>
      <c r="H27" s="8"/>
      <c r="I27" s="12"/>
    </row>
    <row r="28" spans="2:9" s="9" customFormat="1" x14ac:dyDescent="0.2">
      <c r="B28" s="9" t="str">
        <f t="shared" si="0"/>
        <v>Equipos para procesos de información</v>
      </c>
      <c r="D28" s="8"/>
      <c r="E28" s="8"/>
      <c r="F28" s="8"/>
      <c r="G28" s="8"/>
      <c r="H28" s="8"/>
      <c r="I28" s="12"/>
    </row>
    <row r="29" spans="2:9" s="9" customFormat="1" x14ac:dyDescent="0.2">
      <c r="B29" s="9" t="str">
        <f t="shared" si="0"/>
        <v>Planta producción</v>
      </c>
      <c r="D29" s="8"/>
      <c r="E29" s="8"/>
      <c r="F29" s="8"/>
      <c r="G29" s="8"/>
      <c r="H29" s="8"/>
      <c r="I29" s="12"/>
    </row>
    <row r="30" spans="2:9" x14ac:dyDescent="0.2">
      <c r="B30" s="7" t="str">
        <f t="shared" si="0"/>
        <v>Total inversiones materiales</v>
      </c>
      <c r="C30" s="3">
        <v>0</v>
      </c>
      <c r="D30" s="8">
        <f>+C30+D15-D45</f>
        <v>22400</v>
      </c>
      <c r="E30" s="8">
        <f t="shared" ref="D30:H31" si="1">+D30+E15-E45</f>
        <v>18912</v>
      </c>
      <c r="F30" s="8">
        <f t="shared" si="1"/>
        <v>12184</v>
      </c>
      <c r="G30" s="8">
        <f t="shared" si="1"/>
        <v>6896</v>
      </c>
      <c r="H30" s="8">
        <f t="shared" si="1"/>
        <v>288</v>
      </c>
      <c r="I30" s="5"/>
    </row>
    <row r="31" spans="2:9" x14ac:dyDescent="0.2">
      <c r="B31" s="7" t="s">
        <v>152</v>
      </c>
      <c r="C31" s="3">
        <f>+'Balance histórico'!D8</f>
        <v>0</v>
      </c>
      <c r="D31" s="8">
        <f t="shared" si="1"/>
        <v>0</v>
      </c>
      <c r="E31" s="8">
        <f t="shared" si="1"/>
        <v>0</v>
      </c>
      <c r="F31" s="8">
        <f t="shared" si="1"/>
        <v>0</v>
      </c>
      <c r="G31" s="8">
        <f t="shared" si="1"/>
        <v>0</v>
      </c>
      <c r="H31" s="8">
        <f t="shared" si="1"/>
        <v>0</v>
      </c>
      <c r="I31" s="5"/>
    </row>
    <row r="32" spans="2:9" s="1" customFormat="1" x14ac:dyDescent="0.2">
      <c r="B32" s="1" t="s">
        <v>0</v>
      </c>
      <c r="C32" s="6">
        <f t="shared" ref="C32:H32" si="2">+C21+C25+C30+C31</f>
        <v>0</v>
      </c>
      <c r="D32" s="6">
        <f t="shared" si="2"/>
        <v>135933.86666666667</v>
      </c>
      <c r="E32" s="6">
        <f t="shared" si="2"/>
        <v>203980.94933333332</v>
      </c>
      <c r="F32" s="6">
        <f t="shared" si="2"/>
        <v>260345.28448000003</v>
      </c>
      <c r="G32" s="6">
        <f t="shared" si="2"/>
        <v>317582.92301440006</v>
      </c>
      <c r="H32" s="6">
        <f t="shared" si="2"/>
        <v>364129.53070483205</v>
      </c>
      <c r="I32" s="11"/>
    </row>
    <row r="33" spans="2:9" x14ac:dyDescent="0.2">
      <c r="D33" s="3"/>
      <c r="E33" s="3"/>
      <c r="F33" s="3"/>
      <c r="G33" s="3"/>
      <c r="H33" s="3"/>
    </row>
    <row r="34" spans="2:9" x14ac:dyDescent="0.2">
      <c r="D34" s="3"/>
      <c r="E34" s="3"/>
      <c r="F34" s="3"/>
      <c r="G34" s="3"/>
      <c r="H34" s="3"/>
    </row>
    <row r="35" spans="2:9" x14ac:dyDescent="0.2">
      <c r="B35" s="7" t="s">
        <v>16</v>
      </c>
      <c r="D35" s="8"/>
      <c r="E35" s="3"/>
      <c r="F35" s="3"/>
      <c r="G35" s="3"/>
      <c r="H35" s="3"/>
    </row>
    <row r="36" spans="2:9" x14ac:dyDescent="0.2">
      <c r="B36" s="7" t="str">
        <f t="shared" ref="B36:B46" si="3">+B21</f>
        <v>Gastos de establecimiento</v>
      </c>
      <c r="D36" s="8">
        <f>+D6</f>
        <v>3000</v>
      </c>
      <c r="E36" s="3">
        <f>+E6</f>
        <v>0</v>
      </c>
      <c r="F36" s="3">
        <f>+F6</f>
        <v>0</v>
      </c>
      <c r="G36" s="3">
        <f>+G6</f>
        <v>0</v>
      </c>
      <c r="H36" s="3">
        <f>+H6</f>
        <v>0</v>
      </c>
    </row>
    <row r="37" spans="2:9" s="9" customFormat="1" x14ac:dyDescent="0.2">
      <c r="B37" s="9" t="str">
        <f t="shared" si="3"/>
        <v>Aplicaciones informáticas</v>
      </c>
      <c r="D37" s="50">
        <f>+SUM(B7:D7)/$C$51</f>
        <v>12333.333333333334</v>
      </c>
      <c r="E37" s="50">
        <f>+SUM(C7:E7)/$C$51</f>
        <v>12333.333333333334</v>
      </c>
      <c r="F37" s="50">
        <f>+SUM(D7:F7)/$C$51</f>
        <v>12333.333333333334</v>
      </c>
      <c r="G37" s="50">
        <f>+SUM(E7:G7)/$C$51</f>
        <v>0</v>
      </c>
      <c r="H37" s="50">
        <f>+SUM(F7:H7)/$C$51</f>
        <v>0</v>
      </c>
      <c r="I37" s="12"/>
    </row>
    <row r="38" spans="2:9" s="9" customFormat="1" x14ac:dyDescent="0.2">
      <c r="B38" s="9" t="str">
        <f t="shared" si="3"/>
        <v>Certificaciones</v>
      </c>
      <c r="D38" s="50">
        <f>+D8/C52</f>
        <v>1000</v>
      </c>
      <c r="E38" s="50">
        <f>+SUM(D8:E8)/C52</f>
        <v>1000</v>
      </c>
      <c r="F38" s="50">
        <f>+SUM(D8:F8)/C52</f>
        <v>1000</v>
      </c>
      <c r="G38" s="50">
        <f>+SUM(C8:G8)/$C$52</f>
        <v>1000</v>
      </c>
      <c r="H38" s="50">
        <f>+SUM(D8:H8)/$C$52</f>
        <v>1000</v>
      </c>
      <c r="I38" s="12"/>
    </row>
    <row r="39" spans="2:9" s="9" customFormat="1" x14ac:dyDescent="0.2">
      <c r="B39" s="9" t="str">
        <f t="shared" si="3"/>
        <v>Gastos I+D</v>
      </c>
      <c r="D39" s="50">
        <f>+SUM(B9:D9)/$C$53</f>
        <v>21216.799999999999</v>
      </c>
      <c r="E39" s="50">
        <f>+SUM(C9:E9)/$C$53</f>
        <v>47738.103999999999</v>
      </c>
      <c r="F39" s="50">
        <f>+SUM(B9:F9)/$C$53</f>
        <v>78779.047120000003</v>
      </c>
      <c r="G39" s="50">
        <f>+SUM(C9:G9)/$C$53</f>
        <v>114355.21853360001</v>
      </c>
      <c r="H39" s="50">
        <f>+SUM(D9:H9)/$C$53</f>
        <v>156482.675089608</v>
      </c>
      <c r="I39" s="12"/>
    </row>
    <row r="40" spans="2:9" s="7" customFormat="1" x14ac:dyDescent="0.2">
      <c r="B40" s="7" t="str">
        <f t="shared" si="3"/>
        <v>Total inversiones inmateriales</v>
      </c>
      <c r="D40" s="8">
        <f>+SUM(D37:D39)+($C$10/4)</f>
        <v>34550.133333333331</v>
      </c>
      <c r="E40" s="8">
        <f>+SUM(E37:E39)+($C$10/4)</f>
        <v>61071.437333333335</v>
      </c>
      <c r="F40" s="8">
        <f>+SUM(F37:F39)+($C$10/4)</f>
        <v>92112.380453333331</v>
      </c>
      <c r="G40" s="8">
        <f>+SUM(G37:G39)+($C$10/4)</f>
        <v>115355.21853360001</v>
      </c>
      <c r="H40" s="8">
        <f>+SUM(H37:H39)</f>
        <v>157482.675089608</v>
      </c>
      <c r="I40" s="53"/>
    </row>
    <row r="41" spans="2:9" s="9" customFormat="1" x14ac:dyDescent="0.2">
      <c r="B41" s="9" t="str">
        <f t="shared" si="3"/>
        <v>Obras</v>
      </c>
      <c r="D41" s="50">
        <f>+SUM(B11:D11)/$C$54</f>
        <v>0</v>
      </c>
      <c r="E41" s="50">
        <f>+SUM(C11:E11)/$C$54</f>
        <v>0</v>
      </c>
      <c r="F41" s="50">
        <f>+SUM(B11:F11)/$C$54</f>
        <v>0</v>
      </c>
      <c r="G41" s="50">
        <f>+SUM(C11:G11)/$C$54</f>
        <v>0</v>
      </c>
      <c r="H41" s="50">
        <f>+SUM(D11:H11)/$C$54</f>
        <v>0</v>
      </c>
      <c r="I41" s="12"/>
    </row>
    <row r="42" spans="2:9" s="9" customFormat="1" x14ac:dyDescent="0.2">
      <c r="B42" s="9" t="str">
        <f t="shared" si="3"/>
        <v>Mobiliario</v>
      </c>
      <c r="D42" s="50">
        <f>+SUM(B12:D12)/$C$55</f>
        <v>1600</v>
      </c>
      <c r="E42" s="50">
        <f>+SUM(C12:E12)/$C$55</f>
        <v>1820</v>
      </c>
      <c r="F42" s="50">
        <f>+SUM(B12:F12)/$C$55</f>
        <v>2070</v>
      </c>
      <c r="G42" s="50">
        <f>+SUM(C12:G12)/$C$55</f>
        <v>2220</v>
      </c>
      <c r="H42" s="50">
        <f>+SUM(D12:H12)/$C$55</f>
        <v>2270</v>
      </c>
      <c r="I42" s="12"/>
    </row>
    <row r="43" spans="2:9" s="9" customFormat="1" x14ac:dyDescent="0.2">
      <c r="B43" s="9" t="str">
        <f t="shared" si="3"/>
        <v>Equipos para procesos de información</v>
      </c>
      <c r="D43" s="50">
        <f>+SUM(B13:D13)/$C$56</f>
        <v>4000</v>
      </c>
      <c r="E43" s="50">
        <f>+SUM(C13:E13)/$C$56</f>
        <v>4308</v>
      </c>
      <c r="F43" s="50">
        <f>+SUM(B13:F13)/$C$56</f>
        <v>4658</v>
      </c>
      <c r="G43" s="50">
        <f>+SUM(C13:G13)/$C$56</f>
        <v>4868</v>
      </c>
      <c r="H43" s="50">
        <f>+SUM(D13:H13)/$C$56</f>
        <v>4938</v>
      </c>
      <c r="I43" s="12"/>
    </row>
    <row r="44" spans="2:9" s="9" customFormat="1" x14ac:dyDescent="0.2">
      <c r="B44" s="9" t="str">
        <f t="shared" si="3"/>
        <v>Planta producción</v>
      </c>
      <c r="D44" s="50">
        <f>+SUM(B14:D14)/$C$57</f>
        <v>0</v>
      </c>
      <c r="E44" s="50">
        <f>+SUM(C14:E14)/$C$57</f>
        <v>0</v>
      </c>
      <c r="F44" s="50">
        <f>+SUM(B14:F14)/$C$57</f>
        <v>0</v>
      </c>
      <c r="G44" s="50">
        <f>+SUM(C14:G14)/$C$57</f>
        <v>0</v>
      </c>
      <c r="H44" s="50">
        <f>+SUM(D14:H14)/$C$57</f>
        <v>0</v>
      </c>
      <c r="I44" s="12"/>
    </row>
    <row r="45" spans="2:9" s="7" customFormat="1" x14ac:dyDescent="0.2">
      <c r="B45" s="7" t="str">
        <f t="shared" si="3"/>
        <v>Total inversiones materiales</v>
      </c>
      <c r="D45" s="8">
        <f>+SUM(D41:D44)+($C$15/4)</f>
        <v>5600</v>
      </c>
      <c r="E45" s="8">
        <f>+SUM(E41:E44)+($C$15/4)</f>
        <v>6128</v>
      </c>
      <c r="F45" s="8">
        <f>+SUM(F41:F44)+($C$15/4)</f>
        <v>6728</v>
      </c>
      <c r="G45" s="8">
        <f>+SUM(G41:G44)+($C$15/4)</f>
        <v>7088</v>
      </c>
      <c r="H45" s="8">
        <f>+SUM(H41:H44)</f>
        <v>7208</v>
      </c>
      <c r="I45" s="53"/>
    </row>
    <row r="46" spans="2:9" s="7" customFormat="1" x14ac:dyDescent="0.2">
      <c r="B46" s="7" t="str">
        <f t="shared" si="3"/>
        <v>Total inversiones financieras</v>
      </c>
      <c r="D46" s="8"/>
      <c r="E46" s="3"/>
      <c r="F46" s="3"/>
      <c r="G46" s="3"/>
      <c r="H46" s="3"/>
      <c r="I46" s="53"/>
    </row>
    <row r="47" spans="2:9" s="1" customFormat="1" x14ac:dyDescent="0.2">
      <c r="B47" s="1" t="s">
        <v>0</v>
      </c>
      <c r="D47" s="6">
        <f>+D36+D40+D45+D46</f>
        <v>43150.133333333331</v>
      </c>
      <c r="E47" s="6">
        <f>+E36+E40+E45+E46</f>
        <v>67199.437333333335</v>
      </c>
      <c r="F47" s="6">
        <f>+F36+F40+F45+F46</f>
        <v>98840.380453333331</v>
      </c>
      <c r="G47" s="6">
        <f>+G36+G40+G45+G46</f>
        <v>122443.21853360001</v>
      </c>
      <c r="H47" s="6">
        <f>+H36+H40+H45+H46</f>
        <v>164690.675089608</v>
      </c>
      <c r="I47" s="11"/>
    </row>
    <row r="48" spans="2:9" x14ac:dyDescent="0.2">
      <c r="C48" s="3"/>
      <c r="D48" s="3"/>
      <c r="E48" s="3"/>
      <c r="F48" s="3"/>
      <c r="G48" s="3"/>
      <c r="H48" s="3"/>
    </row>
    <row r="49" spans="2:8" x14ac:dyDescent="0.2">
      <c r="C49" s="3"/>
      <c r="D49" s="3"/>
      <c r="E49" s="3"/>
      <c r="F49" s="3"/>
      <c r="G49" s="3"/>
      <c r="H49" s="3"/>
    </row>
    <row r="50" spans="2:8" x14ac:dyDescent="0.2">
      <c r="B50" s="7" t="s">
        <v>66</v>
      </c>
      <c r="C50" s="3" t="s">
        <v>108</v>
      </c>
      <c r="D50" s="3"/>
      <c r="E50" s="3"/>
      <c r="F50" s="3"/>
      <c r="G50" s="3"/>
      <c r="H50" s="3"/>
    </row>
    <row r="51" spans="2:8" x14ac:dyDescent="0.2">
      <c r="B51" s="9" t="str">
        <f>+B37</f>
        <v>Aplicaciones informáticas</v>
      </c>
      <c r="C51" s="48">
        <v>3</v>
      </c>
      <c r="D51" s="3"/>
      <c r="E51" s="3"/>
      <c r="F51" s="3"/>
      <c r="G51" s="3"/>
      <c r="H51" s="3"/>
    </row>
    <row r="52" spans="2:8" x14ac:dyDescent="0.2">
      <c r="B52" s="9" t="str">
        <f>+B38</f>
        <v>Certificaciones</v>
      </c>
      <c r="C52" s="48">
        <v>5</v>
      </c>
      <c r="D52" s="3"/>
      <c r="E52" s="3"/>
      <c r="F52" s="3"/>
      <c r="G52" s="3"/>
      <c r="H52" s="3"/>
    </row>
    <row r="53" spans="2:8" x14ac:dyDescent="0.2">
      <c r="B53" s="2" t="str">
        <f>+B9</f>
        <v>Gastos I+D</v>
      </c>
      <c r="C53" s="48">
        <v>5</v>
      </c>
      <c r="D53" s="3"/>
      <c r="E53" s="3"/>
      <c r="F53" s="3"/>
      <c r="G53" s="3"/>
      <c r="H53" s="3"/>
    </row>
    <row r="54" spans="2:8" x14ac:dyDescent="0.2">
      <c r="B54" s="2" t="str">
        <f>+B41</f>
        <v>Obras</v>
      </c>
      <c r="C54" s="48">
        <v>5</v>
      </c>
      <c r="D54" s="3"/>
      <c r="E54" s="3"/>
      <c r="F54" s="3"/>
      <c r="G54" s="3"/>
      <c r="H54" s="3"/>
    </row>
    <row r="55" spans="2:8" x14ac:dyDescent="0.2">
      <c r="B55" s="2" t="str">
        <f>+B42</f>
        <v>Mobiliario</v>
      </c>
      <c r="C55" s="48">
        <v>5</v>
      </c>
      <c r="D55" s="3"/>
      <c r="E55" s="3"/>
      <c r="F55" s="3"/>
      <c r="G55" s="3"/>
      <c r="H55" s="3"/>
    </row>
    <row r="56" spans="2:8" x14ac:dyDescent="0.2">
      <c r="B56" s="2" t="str">
        <f>+B43</f>
        <v>Equipos para procesos de información</v>
      </c>
      <c r="C56" s="48">
        <v>5</v>
      </c>
      <c r="D56" s="3"/>
      <c r="E56" s="3"/>
      <c r="F56" s="3"/>
      <c r="G56" s="3"/>
      <c r="H56" s="3"/>
    </row>
    <row r="57" spans="2:8" x14ac:dyDescent="0.2">
      <c r="B57" s="2" t="str">
        <f>+B44</f>
        <v>Planta producción</v>
      </c>
      <c r="C57" s="48">
        <v>5</v>
      </c>
      <c r="D57" s="3"/>
      <c r="E57" s="3"/>
      <c r="F57" s="3"/>
      <c r="G57" s="3"/>
      <c r="H57" s="3"/>
    </row>
    <row r="58" spans="2:8" x14ac:dyDescent="0.2">
      <c r="C58" s="3"/>
      <c r="D58" s="3"/>
      <c r="E58" s="3"/>
      <c r="F58" s="3"/>
      <c r="G58" s="3"/>
      <c r="H58" s="3"/>
    </row>
    <row r="59" spans="2:8" x14ac:dyDescent="0.2">
      <c r="C59" s="3"/>
      <c r="D59" s="3"/>
      <c r="E59" s="3"/>
      <c r="F59" s="3"/>
      <c r="G59" s="3"/>
      <c r="H59" s="3"/>
    </row>
    <row r="60" spans="2:8" x14ac:dyDescent="0.2">
      <c r="C60" s="3"/>
      <c r="D60" s="3"/>
      <c r="E60" s="3"/>
      <c r="F60" s="3"/>
      <c r="G60" s="3"/>
      <c r="H60" s="3"/>
    </row>
    <row r="61" spans="2:8" x14ac:dyDescent="0.2">
      <c r="C61" s="3"/>
      <c r="D61" s="3"/>
      <c r="E61" s="3"/>
      <c r="F61" s="3"/>
      <c r="G61" s="3"/>
      <c r="H61" s="3"/>
    </row>
    <row r="62" spans="2:8" x14ac:dyDescent="0.2">
      <c r="C62" s="3"/>
      <c r="D62" s="3"/>
      <c r="E62" s="3"/>
      <c r="F62" s="3"/>
      <c r="G62" s="3"/>
      <c r="H62" s="3"/>
    </row>
    <row r="63" spans="2:8" x14ac:dyDescent="0.2">
      <c r="C63" s="3"/>
      <c r="D63" s="3"/>
      <c r="E63" s="3"/>
      <c r="F63" s="3"/>
      <c r="G63" s="3"/>
      <c r="H63" s="3"/>
    </row>
    <row r="64" spans="2:8" x14ac:dyDescent="0.2">
      <c r="C64" s="3"/>
      <c r="D64" s="3"/>
      <c r="E64" s="3"/>
      <c r="F64" s="3"/>
      <c r="G64" s="3"/>
      <c r="H64" s="3"/>
    </row>
    <row r="65" spans="3:8" x14ac:dyDescent="0.2">
      <c r="C65" s="3"/>
      <c r="D65" s="3"/>
      <c r="E65" s="3"/>
      <c r="F65" s="3"/>
      <c r="G65" s="3"/>
      <c r="H65" s="3"/>
    </row>
    <row r="66" spans="3:8" x14ac:dyDescent="0.2">
      <c r="C66" s="3"/>
      <c r="D66" s="3"/>
      <c r="E66" s="3"/>
      <c r="F66" s="3"/>
      <c r="G66" s="3"/>
      <c r="H66" s="3"/>
    </row>
    <row r="67" spans="3:8" x14ac:dyDescent="0.2">
      <c r="C67" s="3"/>
      <c r="D67" s="3"/>
      <c r="E67" s="3"/>
      <c r="F67" s="3"/>
      <c r="G67" s="3"/>
      <c r="H67" s="3"/>
    </row>
    <row r="68" spans="3:8" x14ac:dyDescent="0.2">
      <c r="C68" s="3"/>
      <c r="D68" s="3"/>
      <c r="E68" s="3"/>
      <c r="F68" s="3"/>
      <c r="G68" s="3"/>
      <c r="H68" s="3"/>
    </row>
    <row r="69" spans="3:8" x14ac:dyDescent="0.2">
      <c r="C69" s="3"/>
      <c r="D69" s="3"/>
      <c r="E69" s="3"/>
      <c r="F69" s="3"/>
      <c r="G69" s="3"/>
      <c r="H69" s="3"/>
    </row>
    <row r="70" spans="3:8" x14ac:dyDescent="0.2">
      <c r="C70" s="3"/>
      <c r="D70" s="3"/>
      <c r="E70" s="3"/>
      <c r="F70" s="3"/>
      <c r="G70" s="3"/>
      <c r="H70" s="3"/>
    </row>
    <row r="71" spans="3:8" x14ac:dyDescent="0.2">
      <c r="C71" s="3"/>
      <c r="D71" s="3"/>
      <c r="E71" s="3"/>
      <c r="F71" s="3"/>
      <c r="G71" s="3"/>
      <c r="H71" s="3"/>
    </row>
    <row r="72" spans="3:8" x14ac:dyDescent="0.2">
      <c r="C72" s="3"/>
      <c r="D72" s="3"/>
      <c r="E72" s="3"/>
      <c r="F72" s="3"/>
      <c r="G72" s="3"/>
      <c r="H72" s="3"/>
    </row>
    <row r="73" spans="3:8" x14ac:dyDescent="0.2">
      <c r="C73" s="3"/>
      <c r="D73" s="3"/>
      <c r="E73" s="3"/>
      <c r="F73" s="3"/>
      <c r="G73" s="3"/>
      <c r="H73" s="3"/>
    </row>
    <row r="74" spans="3:8" x14ac:dyDescent="0.2">
      <c r="C74" s="3"/>
      <c r="D74" s="3"/>
      <c r="E74" s="3"/>
      <c r="F74" s="3"/>
      <c r="G74" s="3"/>
      <c r="H74" s="3"/>
    </row>
    <row r="75" spans="3:8" x14ac:dyDescent="0.2">
      <c r="C75" s="3"/>
      <c r="D75" s="3"/>
      <c r="E75" s="3"/>
      <c r="F75" s="3"/>
      <c r="G75" s="3"/>
      <c r="H75" s="3"/>
    </row>
    <row r="76" spans="3:8" x14ac:dyDescent="0.2">
      <c r="C76" s="3"/>
      <c r="D76" s="3"/>
      <c r="E76" s="3"/>
      <c r="F76" s="3"/>
      <c r="G76" s="3"/>
      <c r="H76" s="3"/>
    </row>
    <row r="77" spans="3:8" x14ac:dyDescent="0.2">
      <c r="C77" s="3"/>
      <c r="D77" s="3"/>
      <c r="E77" s="3"/>
      <c r="F77" s="3"/>
      <c r="G77" s="3"/>
      <c r="H77" s="3"/>
    </row>
    <row r="78" spans="3:8" x14ac:dyDescent="0.2">
      <c r="C78" s="3"/>
      <c r="D78" s="3"/>
      <c r="E78" s="3"/>
      <c r="F78" s="3"/>
      <c r="G78" s="3"/>
      <c r="H78" s="3"/>
    </row>
    <row r="79" spans="3:8" x14ac:dyDescent="0.2">
      <c r="C79" s="3"/>
      <c r="D79" s="3"/>
      <c r="E79" s="3"/>
      <c r="F79" s="3"/>
      <c r="G79" s="3"/>
      <c r="H79" s="3"/>
    </row>
    <row r="80" spans="3:8" x14ac:dyDescent="0.2">
      <c r="C80" s="3"/>
      <c r="D80" s="3"/>
      <c r="E80" s="3"/>
      <c r="F80" s="3"/>
      <c r="G80" s="3"/>
      <c r="H80" s="3"/>
    </row>
    <row r="81" spans="3:8" x14ac:dyDescent="0.2">
      <c r="C81" s="3"/>
      <c r="D81" s="3"/>
      <c r="E81" s="3"/>
      <c r="F81" s="3"/>
      <c r="G81" s="3"/>
      <c r="H81" s="3"/>
    </row>
    <row r="82" spans="3:8" x14ac:dyDescent="0.2">
      <c r="C82" s="3"/>
      <c r="D82" s="3"/>
      <c r="E82" s="3"/>
      <c r="F82" s="3"/>
      <c r="G82" s="3"/>
      <c r="H82" s="3"/>
    </row>
    <row r="83" spans="3:8" x14ac:dyDescent="0.2">
      <c r="C83" s="3"/>
      <c r="D83" s="3"/>
      <c r="E83" s="3"/>
      <c r="F83" s="3"/>
      <c r="G83" s="3"/>
      <c r="H83" s="3"/>
    </row>
    <row r="84" spans="3:8" x14ac:dyDescent="0.2">
      <c r="C84" s="3"/>
      <c r="D84" s="3"/>
      <c r="E84" s="3"/>
      <c r="F84" s="3"/>
      <c r="G84" s="3"/>
      <c r="H84" s="3"/>
    </row>
    <row r="85" spans="3:8" x14ac:dyDescent="0.2">
      <c r="C85" s="3"/>
      <c r="D85" s="3"/>
      <c r="E85" s="3"/>
      <c r="F85" s="3"/>
      <c r="G85" s="3"/>
      <c r="H85" s="3"/>
    </row>
    <row r="86" spans="3:8" x14ac:dyDescent="0.2">
      <c r="C86" s="3"/>
      <c r="D86" s="3"/>
      <c r="E86" s="3"/>
      <c r="F86" s="3"/>
      <c r="G86" s="3"/>
      <c r="H86" s="3"/>
    </row>
    <row r="87" spans="3:8" x14ac:dyDescent="0.2">
      <c r="C87" s="3"/>
      <c r="D87" s="3"/>
      <c r="E87" s="3"/>
      <c r="F87" s="3"/>
      <c r="G87" s="3"/>
      <c r="H87" s="3"/>
    </row>
    <row r="88" spans="3:8" x14ac:dyDescent="0.2">
      <c r="C88" s="3"/>
      <c r="D88" s="3"/>
      <c r="E88" s="3"/>
      <c r="F88" s="3"/>
      <c r="G88" s="3"/>
      <c r="H88" s="3"/>
    </row>
    <row r="89" spans="3:8" x14ac:dyDescent="0.2">
      <c r="C89" s="3"/>
      <c r="D89" s="3"/>
      <c r="E89" s="3"/>
      <c r="F89" s="3"/>
      <c r="G89" s="3"/>
      <c r="H89" s="3"/>
    </row>
    <row r="90" spans="3:8" x14ac:dyDescent="0.2">
      <c r="C90" s="3"/>
      <c r="D90" s="3"/>
      <c r="E90" s="3"/>
      <c r="F90" s="3"/>
      <c r="G90" s="3"/>
      <c r="H90" s="3"/>
    </row>
    <row r="91" spans="3:8" x14ac:dyDescent="0.2">
      <c r="C91" s="3"/>
      <c r="D91" s="3"/>
      <c r="E91" s="3"/>
      <c r="F91" s="3"/>
      <c r="G91" s="3"/>
      <c r="H91" s="3"/>
    </row>
    <row r="92" spans="3:8" x14ac:dyDescent="0.2">
      <c r="C92" s="3"/>
      <c r="D92" s="3"/>
      <c r="E92" s="3"/>
      <c r="F92" s="3"/>
      <c r="G92" s="3"/>
      <c r="H92" s="3"/>
    </row>
    <row r="93" spans="3:8" x14ac:dyDescent="0.2">
      <c r="C93" s="3"/>
      <c r="D93" s="3"/>
      <c r="E93" s="3"/>
      <c r="F93" s="3"/>
      <c r="G93" s="3"/>
      <c r="H93" s="3"/>
    </row>
    <row r="94" spans="3:8" x14ac:dyDescent="0.2">
      <c r="C94" s="3"/>
      <c r="D94" s="3"/>
      <c r="E94" s="3"/>
      <c r="F94" s="3"/>
      <c r="G94" s="3"/>
      <c r="H94" s="3"/>
    </row>
    <row r="95" spans="3:8" x14ac:dyDescent="0.2">
      <c r="C95" s="3"/>
      <c r="D95" s="3"/>
      <c r="E95" s="3"/>
      <c r="F95" s="3"/>
      <c r="G95" s="3"/>
      <c r="H95" s="3"/>
    </row>
    <row r="96" spans="3:8" x14ac:dyDescent="0.2">
      <c r="C96" s="3"/>
      <c r="D96" s="3"/>
      <c r="E96" s="3"/>
      <c r="F96" s="3"/>
      <c r="G96" s="3"/>
      <c r="H96" s="3"/>
    </row>
    <row r="97" spans="3:8" x14ac:dyDescent="0.2">
      <c r="C97" s="3"/>
      <c r="D97" s="3"/>
      <c r="E97" s="3"/>
      <c r="F97" s="3"/>
      <c r="G97" s="3"/>
      <c r="H97" s="3"/>
    </row>
    <row r="98" spans="3:8" x14ac:dyDescent="0.2">
      <c r="C98" s="3"/>
      <c r="D98" s="3"/>
      <c r="E98" s="3"/>
      <c r="F98" s="3"/>
      <c r="G98" s="3"/>
      <c r="H98" s="3"/>
    </row>
    <row r="99" spans="3:8" x14ac:dyDescent="0.2">
      <c r="C99" s="3"/>
      <c r="D99" s="3"/>
      <c r="E99" s="3"/>
      <c r="F99" s="3"/>
      <c r="G99" s="3"/>
      <c r="H99" s="3"/>
    </row>
    <row r="100" spans="3:8" x14ac:dyDescent="0.2">
      <c r="C100" s="3"/>
      <c r="D100" s="3"/>
      <c r="E100" s="3"/>
      <c r="F100" s="3"/>
      <c r="G100" s="3"/>
      <c r="H100" s="3"/>
    </row>
    <row r="101" spans="3:8" x14ac:dyDescent="0.2">
      <c r="C101" s="3"/>
      <c r="D101" s="3"/>
      <c r="E101" s="3"/>
      <c r="F101" s="3"/>
      <c r="G101" s="3"/>
      <c r="H101" s="3"/>
    </row>
    <row r="102" spans="3:8" x14ac:dyDescent="0.2">
      <c r="C102" s="3"/>
      <c r="D102" s="3"/>
      <c r="E102" s="3"/>
      <c r="F102" s="3"/>
      <c r="G102" s="3"/>
      <c r="H102" s="3"/>
    </row>
    <row r="103" spans="3:8" x14ac:dyDescent="0.2">
      <c r="C103" s="3"/>
      <c r="D103" s="3"/>
      <c r="E103" s="3"/>
      <c r="F103" s="3"/>
      <c r="G103" s="3"/>
      <c r="H103" s="3"/>
    </row>
    <row r="104" spans="3:8" x14ac:dyDescent="0.2">
      <c r="C104" s="3"/>
      <c r="D104" s="3"/>
      <c r="E104" s="3"/>
      <c r="F104" s="3"/>
      <c r="G104" s="3"/>
      <c r="H104" s="3"/>
    </row>
    <row r="105" spans="3:8" x14ac:dyDescent="0.2">
      <c r="C105" s="3"/>
      <c r="D105" s="3"/>
      <c r="E105" s="3"/>
      <c r="F105" s="3"/>
      <c r="G105" s="3"/>
      <c r="H105" s="3"/>
    </row>
    <row r="106" spans="3:8" x14ac:dyDescent="0.2">
      <c r="C106" s="3"/>
      <c r="D106" s="3"/>
      <c r="E106" s="3"/>
      <c r="F106" s="3"/>
      <c r="G106" s="3"/>
      <c r="H106" s="3"/>
    </row>
    <row r="107" spans="3:8" x14ac:dyDescent="0.2">
      <c r="C107" s="3"/>
      <c r="D107" s="3"/>
      <c r="E107" s="3"/>
      <c r="F107" s="3"/>
      <c r="G107" s="3"/>
      <c r="H107" s="3"/>
    </row>
    <row r="108" spans="3:8" x14ac:dyDescent="0.2">
      <c r="C108" s="3"/>
      <c r="D108" s="3"/>
      <c r="E108" s="3"/>
      <c r="F108" s="3"/>
      <c r="G108" s="3"/>
      <c r="H108" s="3"/>
    </row>
    <row r="109" spans="3:8" x14ac:dyDescent="0.2">
      <c r="C109" s="3"/>
      <c r="D109" s="3"/>
      <c r="E109" s="3"/>
      <c r="F109" s="3"/>
      <c r="G109" s="3"/>
      <c r="H109" s="3"/>
    </row>
    <row r="110" spans="3:8" x14ac:dyDescent="0.2">
      <c r="C110" s="3"/>
      <c r="D110" s="3"/>
      <c r="E110" s="3"/>
      <c r="F110" s="3"/>
      <c r="G110" s="3"/>
      <c r="H110" s="3"/>
    </row>
    <row r="111" spans="3:8" x14ac:dyDescent="0.2">
      <c r="C111" s="3"/>
      <c r="D111" s="3"/>
      <c r="E111" s="3"/>
      <c r="F111" s="3"/>
      <c r="G111" s="3"/>
      <c r="H111" s="3"/>
    </row>
    <row r="112" spans="3:8" x14ac:dyDescent="0.2">
      <c r="C112" s="3"/>
      <c r="D112" s="3"/>
      <c r="E112" s="3"/>
      <c r="F112" s="3"/>
      <c r="G112" s="3"/>
      <c r="H112" s="3"/>
    </row>
    <row r="113" spans="3:8" x14ac:dyDescent="0.2">
      <c r="C113" s="3"/>
      <c r="D113" s="3"/>
      <c r="E113" s="3"/>
      <c r="F113" s="3"/>
      <c r="G113" s="3"/>
      <c r="H113" s="3"/>
    </row>
    <row r="114" spans="3:8" x14ac:dyDescent="0.2">
      <c r="C114" s="3"/>
      <c r="D114" s="3"/>
      <c r="E114" s="3"/>
      <c r="F114" s="3"/>
      <c r="G114" s="3"/>
      <c r="H114" s="3"/>
    </row>
    <row r="115" spans="3:8" x14ac:dyDescent="0.2">
      <c r="C115" s="3"/>
      <c r="D115" s="3"/>
      <c r="E115" s="3"/>
      <c r="F115" s="3"/>
      <c r="G115" s="3"/>
      <c r="H115" s="3"/>
    </row>
    <row r="116" spans="3:8" x14ac:dyDescent="0.2">
      <c r="C116" s="3"/>
      <c r="D116" s="3"/>
      <c r="E116" s="3"/>
      <c r="F116" s="3"/>
      <c r="G116" s="3"/>
      <c r="H116" s="3"/>
    </row>
    <row r="117" spans="3:8" x14ac:dyDescent="0.2">
      <c r="C117" s="3"/>
      <c r="D117" s="3"/>
      <c r="E117" s="3"/>
      <c r="F117" s="3"/>
      <c r="G117" s="3"/>
      <c r="H117" s="3"/>
    </row>
    <row r="118" spans="3:8" x14ac:dyDescent="0.2">
      <c r="C118" s="3"/>
      <c r="D118" s="3"/>
      <c r="E118" s="3"/>
      <c r="F118" s="3"/>
      <c r="G118" s="3"/>
      <c r="H118" s="3"/>
    </row>
    <row r="119" spans="3:8" x14ac:dyDescent="0.2">
      <c r="C119" s="3"/>
      <c r="D119" s="3"/>
      <c r="E119" s="3"/>
      <c r="F119" s="3"/>
      <c r="G119" s="3"/>
      <c r="H119" s="3"/>
    </row>
    <row r="120" spans="3:8" x14ac:dyDescent="0.2">
      <c r="C120" s="3"/>
      <c r="D120" s="3"/>
      <c r="E120" s="3"/>
      <c r="F120" s="3"/>
      <c r="G120" s="3"/>
      <c r="H120" s="3"/>
    </row>
    <row r="121" spans="3:8" x14ac:dyDescent="0.2">
      <c r="C121" s="3"/>
      <c r="D121" s="3"/>
      <c r="E121" s="3"/>
      <c r="F121" s="3"/>
      <c r="G121" s="3"/>
      <c r="H121" s="3"/>
    </row>
    <row r="122" spans="3:8" x14ac:dyDescent="0.2">
      <c r="C122" s="3"/>
      <c r="D122" s="3"/>
      <c r="E122" s="3"/>
      <c r="F122" s="3"/>
      <c r="G122" s="3"/>
      <c r="H122" s="3"/>
    </row>
    <row r="123" spans="3:8" x14ac:dyDescent="0.2">
      <c r="C123" s="3"/>
      <c r="D123" s="3"/>
      <c r="E123" s="3"/>
      <c r="F123" s="3"/>
      <c r="G123" s="3"/>
      <c r="H123" s="3"/>
    </row>
    <row r="124" spans="3:8" x14ac:dyDescent="0.2">
      <c r="C124" s="3"/>
      <c r="D124" s="3"/>
      <c r="E124" s="3"/>
      <c r="F124" s="3"/>
      <c r="G124" s="3"/>
      <c r="H124" s="3"/>
    </row>
    <row r="125" spans="3:8" x14ac:dyDescent="0.2">
      <c r="C125" s="3"/>
      <c r="D125" s="3"/>
      <c r="E125" s="3"/>
      <c r="F125" s="3"/>
      <c r="G125" s="3"/>
      <c r="H125" s="3"/>
    </row>
    <row r="126" spans="3:8" x14ac:dyDescent="0.2">
      <c r="C126" s="3"/>
      <c r="D126" s="3"/>
      <c r="E126" s="3"/>
      <c r="F126" s="3"/>
      <c r="G126" s="3"/>
      <c r="H126" s="3"/>
    </row>
    <row r="127" spans="3:8" x14ac:dyDescent="0.2">
      <c r="C127" s="3"/>
      <c r="D127" s="3"/>
      <c r="E127" s="3"/>
      <c r="F127" s="3"/>
      <c r="G127" s="3"/>
      <c r="H127" s="3"/>
    </row>
    <row r="128" spans="3:8" x14ac:dyDescent="0.2">
      <c r="C128" s="3"/>
      <c r="D128" s="3"/>
      <c r="E128" s="3"/>
      <c r="F128" s="3"/>
      <c r="G128" s="3"/>
      <c r="H128" s="3"/>
    </row>
    <row r="129" spans="3:8" x14ac:dyDescent="0.2">
      <c r="C129" s="3"/>
      <c r="D129" s="3"/>
      <c r="E129" s="3"/>
      <c r="F129" s="3"/>
      <c r="G129" s="3"/>
      <c r="H129" s="3"/>
    </row>
  </sheetData>
  <phoneticPr fontId="0" type="noConversion"/>
  <printOptions horizontalCentered="1" verticalCentered="1"/>
  <pageMargins left="0.78740157480314965" right="0.78740157480314965" top="0.98425196850393704" bottom="0.98425196850393704" header="0" footer="0"/>
  <pageSetup paperSize="9"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abSelected="1" zoomScale="90" workbookViewId="0">
      <pane xSplit="2" ySplit="1" topLeftCell="C8" activePane="bottomRight" state="frozen"/>
      <selection activeCell="F15" sqref="F15"/>
      <selection pane="topRight" activeCell="F15" sqref="F15"/>
      <selection pane="bottomLeft" activeCell="F15" sqref="F15"/>
      <selection pane="bottomRight" activeCell="F15" sqref="F15"/>
    </sheetView>
  </sheetViews>
  <sheetFormatPr baseColWidth="10" defaultRowHeight="12.75" x14ac:dyDescent="0.2"/>
  <cols>
    <col min="1" max="1" width="1.42578125" style="2" customWidth="1"/>
    <col min="2" max="2" width="27.140625" style="2" bestFit="1" customWidth="1"/>
    <col min="3" max="3" width="9.85546875" style="2" customWidth="1"/>
    <col min="4" max="16384" width="11.42578125" style="2"/>
  </cols>
  <sheetData>
    <row r="1" spans="1:8" s="38" customFormat="1" x14ac:dyDescent="0.2">
      <c r="D1" s="38" t="str">
        <f>+PyG!D4</f>
        <v>Año 1</v>
      </c>
      <c r="E1" s="38" t="str">
        <f>+PyG!E4</f>
        <v>Año 2</v>
      </c>
      <c r="F1" s="38" t="str">
        <f>+PyG!F4</f>
        <v>Año 3</v>
      </c>
      <c r="G1" s="38" t="str">
        <f>+PyG!G4</f>
        <v>Año 4</v>
      </c>
      <c r="H1" s="38" t="str">
        <f>+PyG!H4</f>
        <v>Año 5</v>
      </c>
    </row>
    <row r="2" spans="1:8" s="1" customFormat="1" x14ac:dyDescent="0.2"/>
    <row r="3" spans="1:8" s="1" customFormat="1" x14ac:dyDescent="0.2">
      <c r="B3" s="2" t="s">
        <v>34</v>
      </c>
      <c r="C3" s="10">
        <v>0.18</v>
      </c>
    </row>
    <row r="4" spans="1:8" s="1" customFormat="1" x14ac:dyDescent="0.2"/>
    <row r="5" spans="1:8" s="1" customFormat="1" x14ac:dyDescent="0.2">
      <c r="A5" s="1" t="s">
        <v>78</v>
      </c>
    </row>
    <row r="6" spans="1:8" x14ac:dyDescent="0.2">
      <c r="B6" s="201" t="s">
        <v>311</v>
      </c>
      <c r="C6" s="15"/>
      <c r="D6" s="15">
        <f>+'Ingresos por ventas'!D9</f>
        <v>461500</v>
      </c>
      <c r="E6" s="15">
        <f>+'Ingresos por ventas'!E9</f>
        <v>941460</v>
      </c>
      <c r="F6" s="15">
        <f>+'Ingresos por ventas'!F9</f>
        <v>1903818.5249999999</v>
      </c>
      <c r="G6" s="15">
        <f>+'Ingresos por ventas'!G9</f>
        <v>1189594.3800000004</v>
      </c>
      <c r="H6" s="16">
        <f>+'Ingresos por ventas'!H9</f>
        <v>4239643.3497600006</v>
      </c>
    </row>
    <row r="7" spans="1:8" x14ac:dyDescent="0.2">
      <c r="B7" s="17" t="s">
        <v>312</v>
      </c>
      <c r="C7" s="19"/>
      <c r="D7" s="19">
        <f>+D6*(1+$C$3)</f>
        <v>544570</v>
      </c>
      <c r="E7" s="19">
        <f>+E6*(1+$C$3)</f>
        <v>1110922.8</v>
      </c>
      <c r="F7" s="19">
        <f>+F6*(1+$C$3)</f>
        <v>2246505.8594999998</v>
      </c>
      <c r="G7" s="19">
        <f>+G6*(1+$C$3)</f>
        <v>1403721.3684000003</v>
      </c>
      <c r="H7" s="20">
        <f>+H6*(1+$C$3)</f>
        <v>5002779.1527168006</v>
      </c>
    </row>
    <row r="8" spans="1:8" x14ac:dyDescent="0.2">
      <c r="B8" s="29" t="s">
        <v>313</v>
      </c>
      <c r="C8" s="19"/>
      <c r="D8" s="19">
        <f>+'Ingresos por ventas'!D8</f>
        <v>112500</v>
      </c>
      <c r="E8" s="19">
        <f>+'Ingresos por ventas'!E8</f>
        <v>229500</v>
      </c>
      <c r="F8" s="19">
        <f>+'Ingresos por ventas'!F8</f>
        <v>620510.625</v>
      </c>
      <c r="G8" s="19">
        <f>+'Ingresos por ventas'!G8</f>
        <v>921901.50000000023</v>
      </c>
      <c r="H8" s="20">
        <f>+'Ingresos por ventas'!H8</f>
        <v>1661881.1040000003</v>
      </c>
    </row>
    <row r="9" spans="1:8" x14ac:dyDescent="0.2">
      <c r="B9" s="17" t="s">
        <v>314</v>
      </c>
      <c r="C9" s="19"/>
      <c r="D9" s="19">
        <f>+D8*(1+$C$3)</f>
        <v>132750</v>
      </c>
      <c r="E9" s="19">
        <f>+E8*(1+$C$3)</f>
        <v>270810</v>
      </c>
      <c r="F9" s="19">
        <f>+F8*(1+$C$3)</f>
        <v>732202.53749999998</v>
      </c>
      <c r="G9" s="19">
        <f>+G8*(1+$C$3)</f>
        <v>1087843.7700000003</v>
      </c>
      <c r="H9" s="20">
        <f>+H8*(1+$C$3)</f>
        <v>1961019.7027200002</v>
      </c>
    </row>
    <row r="10" spans="1:8" x14ac:dyDescent="0.2">
      <c r="B10" s="17" t="s">
        <v>26</v>
      </c>
      <c r="C10" s="18"/>
      <c r="D10" s="54">
        <v>0</v>
      </c>
      <c r="E10" s="54">
        <v>0</v>
      </c>
      <c r="F10" s="54">
        <v>0</v>
      </c>
      <c r="G10" s="54">
        <v>0</v>
      </c>
      <c r="H10" s="55">
        <v>0</v>
      </c>
    </row>
    <row r="11" spans="1:8" x14ac:dyDescent="0.2">
      <c r="B11" s="29" t="s">
        <v>291</v>
      </c>
      <c r="C11" s="18"/>
      <c r="D11" s="19">
        <f>+'Ingresos por ventas'!D17</f>
        <v>37.5</v>
      </c>
      <c r="E11" s="19">
        <f>+'Ingresos por ventas'!E17</f>
        <v>37.5</v>
      </c>
      <c r="F11" s="19">
        <f>+'Ingresos por ventas'!F17</f>
        <v>33</v>
      </c>
      <c r="G11" s="19">
        <f>+'Ingresos por ventas'!G17</f>
        <v>30</v>
      </c>
      <c r="H11" s="20">
        <f>+'Ingresos por ventas'!H17</f>
        <v>21</v>
      </c>
    </row>
    <row r="12" spans="1:8" s="1" customFormat="1" x14ac:dyDescent="0.2">
      <c r="B12" s="21" t="s">
        <v>28</v>
      </c>
      <c r="C12" s="23"/>
      <c r="D12" s="23">
        <f>+D16*D10/365</f>
        <v>0</v>
      </c>
      <c r="E12" s="23">
        <f>+E16*E10/365</f>
        <v>0</v>
      </c>
      <c r="F12" s="23">
        <f>+F16*F10/365</f>
        <v>0</v>
      </c>
      <c r="G12" s="23">
        <f>+G16*G10/365</f>
        <v>0</v>
      </c>
      <c r="H12" s="24">
        <f>+H16*H10/365</f>
        <v>0</v>
      </c>
    </row>
    <row r="13" spans="1:8" s="1" customFormat="1" x14ac:dyDescent="0.2">
      <c r="B13" s="25" t="s">
        <v>29</v>
      </c>
      <c r="C13" s="27"/>
      <c r="D13" s="27">
        <f>+D9*D11/365</f>
        <v>13638.698630136987</v>
      </c>
      <c r="E13" s="27">
        <f>+E9*E11/365</f>
        <v>27822.945205479453</v>
      </c>
      <c r="F13" s="27">
        <f>+F9*F11/365</f>
        <v>66199.133527397265</v>
      </c>
      <c r="G13" s="27">
        <f>+G9*G11/365</f>
        <v>89411.816712328786</v>
      </c>
      <c r="H13" s="28">
        <f>+H9*H11/365</f>
        <v>112825.79111539728</v>
      </c>
    </row>
    <row r="15" spans="1:8" x14ac:dyDescent="0.2">
      <c r="A15" s="1" t="s">
        <v>79</v>
      </c>
    </row>
    <row r="16" spans="1:8" x14ac:dyDescent="0.2">
      <c r="B16" s="13" t="str">
        <f>+Costes!B14</f>
        <v>Coste de ventas</v>
      </c>
      <c r="C16" s="14"/>
      <c r="D16" s="15">
        <f>+Costes!D14</f>
        <v>150000</v>
      </c>
      <c r="E16" s="15">
        <f>+Costes!E14</f>
        <v>306000</v>
      </c>
      <c r="F16" s="15">
        <f>+Costes!F14</f>
        <v>551565</v>
      </c>
      <c r="G16" s="15">
        <f>+Costes!G14</f>
        <v>0</v>
      </c>
      <c r="H16" s="16">
        <f>+Costes!H14</f>
        <v>1107920.736</v>
      </c>
    </row>
    <row r="17" spans="1:9" x14ac:dyDescent="0.2">
      <c r="B17" s="17" t="s">
        <v>32</v>
      </c>
      <c r="C17" s="18"/>
      <c r="D17" s="19">
        <f>+D16*(1+$C$3)</f>
        <v>177000</v>
      </c>
      <c r="E17" s="19">
        <f>+E16*(1+$C$3)</f>
        <v>361080</v>
      </c>
      <c r="F17" s="19">
        <f>+F16*(1+$C$3)</f>
        <v>650846.69999999995</v>
      </c>
      <c r="G17" s="19">
        <f>+G16*(1+$C$3)</f>
        <v>0</v>
      </c>
      <c r="H17" s="20">
        <f>+H16*(1+$C$3)</f>
        <v>1307346.46848</v>
      </c>
    </row>
    <row r="18" spans="1:9" x14ac:dyDescent="0.2">
      <c r="B18" s="17" t="s">
        <v>30</v>
      </c>
      <c r="C18" s="18"/>
      <c r="D18" s="54">
        <v>15</v>
      </c>
      <c r="E18" s="54">
        <v>15</v>
      </c>
      <c r="F18" s="54">
        <v>30</v>
      </c>
      <c r="G18" s="54">
        <v>30</v>
      </c>
      <c r="H18" s="55">
        <v>30</v>
      </c>
    </row>
    <row r="19" spans="1:9" s="1" customFormat="1" x14ac:dyDescent="0.2">
      <c r="B19" s="21" t="s">
        <v>31</v>
      </c>
      <c r="C19" s="23"/>
      <c r="D19" s="23">
        <f>+D17*D18/365</f>
        <v>7273.9726027397264</v>
      </c>
      <c r="E19" s="23">
        <f>+E17*E18/365</f>
        <v>14838.904109589041</v>
      </c>
      <c r="F19" s="23">
        <f>+F17*F18/365</f>
        <v>53494.24931506849</v>
      </c>
      <c r="G19" s="23">
        <f>+G17*G18/365</f>
        <v>0</v>
      </c>
      <c r="H19" s="24">
        <f>+H17*H18/365</f>
        <v>107453.13439561645</v>
      </c>
    </row>
    <row r="20" spans="1:9" x14ac:dyDescent="0.2">
      <c r="B20" s="17" t="str">
        <f>+Costes!B19</f>
        <v>Gastos generales</v>
      </c>
      <c r="C20" s="18"/>
      <c r="D20" s="19">
        <f>+Costes!D37</f>
        <v>412675</v>
      </c>
      <c r="E20" s="19">
        <f>+Costes!E37</f>
        <v>458139.75</v>
      </c>
      <c r="F20" s="19">
        <f>+Costes!F37</f>
        <v>500717.35749999998</v>
      </c>
      <c r="G20" s="19">
        <f>+Costes!G37</f>
        <v>543413.25777500006</v>
      </c>
      <c r="H20" s="20">
        <f>+Costes!H37</f>
        <v>601233.15371174994</v>
      </c>
    </row>
    <row r="21" spans="1:9" x14ac:dyDescent="0.2">
      <c r="B21" s="17" t="s">
        <v>32</v>
      </c>
      <c r="C21" s="18"/>
      <c r="D21" s="19">
        <f>+D20*(1+$C$3)</f>
        <v>486956.5</v>
      </c>
      <c r="E21" s="19">
        <f>+E20*(1+$C$3)</f>
        <v>540604.90500000003</v>
      </c>
      <c r="F21" s="19">
        <f>+F20*(1+$C$3)</f>
        <v>590846.48184999998</v>
      </c>
      <c r="G21" s="19">
        <f>+G20*(1+$C$3)</f>
        <v>641227.64417450002</v>
      </c>
      <c r="H21" s="20">
        <f>+H20*(1+$C$3)</f>
        <v>709455.12137986487</v>
      </c>
    </row>
    <row r="22" spans="1:9" x14ac:dyDescent="0.2">
      <c r="B22" s="17" t="s">
        <v>30</v>
      </c>
      <c r="C22" s="18"/>
      <c r="D22" s="54">
        <v>15</v>
      </c>
      <c r="E22" s="54">
        <v>15</v>
      </c>
      <c r="F22" s="54">
        <v>15</v>
      </c>
      <c r="G22" s="54">
        <v>15</v>
      </c>
      <c r="H22" s="55">
        <v>15</v>
      </c>
    </row>
    <row r="23" spans="1:9" s="1" customFormat="1" x14ac:dyDescent="0.2">
      <c r="B23" s="25" t="s">
        <v>33</v>
      </c>
      <c r="C23" s="27"/>
      <c r="D23" s="27">
        <f>+D21*D22/365</f>
        <v>20011.910958904111</v>
      </c>
      <c r="E23" s="27">
        <f>+E21*E22/365</f>
        <v>22216.639931506848</v>
      </c>
      <c r="F23" s="27">
        <f>+F21*F22/365</f>
        <v>24281.362267808217</v>
      </c>
      <c r="G23" s="27">
        <f>+G21*G22/365</f>
        <v>26351.820993472604</v>
      </c>
      <c r="H23" s="28">
        <f>+H21*H22/365</f>
        <v>29155.689919720473</v>
      </c>
    </row>
    <row r="25" spans="1:9" x14ac:dyDescent="0.2">
      <c r="A25" s="1" t="s">
        <v>80</v>
      </c>
    </row>
    <row r="26" spans="1:9" x14ac:dyDescent="0.2">
      <c r="B26" s="13" t="s">
        <v>35</v>
      </c>
      <c r="C26" s="14"/>
      <c r="D26" s="15">
        <f>+$C$3*D6</f>
        <v>83070</v>
      </c>
      <c r="E26" s="15">
        <f>+$C$3*E6</f>
        <v>169462.8</v>
      </c>
      <c r="F26" s="15">
        <f>+$C$3*F6</f>
        <v>342687.3345</v>
      </c>
      <c r="G26" s="15">
        <f>+$C$3*G6</f>
        <v>214126.98840000006</v>
      </c>
      <c r="H26" s="16">
        <f>+$C$3*H6</f>
        <v>763135.80295680009</v>
      </c>
    </row>
    <row r="27" spans="1:9" x14ac:dyDescent="0.2">
      <c r="B27" s="17" t="s">
        <v>36</v>
      </c>
      <c r="C27" s="18"/>
      <c r="D27" s="19">
        <f>+$C$3*D16</f>
        <v>27000</v>
      </c>
      <c r="E27" s="19">
        <f>+$C$3*E16</f>
        <v>55080</v>
      </c>
      <c r="F27" s="19">
        <f>+$C$3*F16</f>
        <v>99281.7</v>
      </c>
      <c r="G27" s="19">
        <f>+$C$3*G16</f>
        <v>0</v>
      </c>
      <c r="H27" s="20">
        <f>+$C$3*H16</f>
        <v>199425.73248000001</v>
      </c>
      <c r="I27" s="3"/>
    </row>
    <row r="28" spans="1:9" x14ac:dyDescent="0.2">
      <c r="B28" s="17" t="s">
        <v>37</v>
      </c>
      <c r="C28" s="18"/>
      <c r="D28" s="19">
        <f>+$C$3*D20</f>
        <v>74281.5</v>
      </c>
      <c r="E28" s="19">
        <f>+$C$3*E20</f>
        <v>82465.154999999999</v>
      </c>
      <c r="F28" s="19">
        <f>+$C$3*F20</f>
        <v>90129.124349999998</v>
      </c>
      <c r="G28" s="19">
        <f>+$C$3*G20</f>
        <v>97814.386399500014</v>
      </c>
      <c r="H28" s="20">
        <f>+$C$3*H20</f>
        <v>108221.96766811499</v>
      </c>
    </row>
    <row r="29" spans="1:9" x14ac:dyDescent="0.2">
      <c r="B29" s="17" t="s">
        <v>38</v>
      </c>
      <c r="C29" s="18"/>
      <c r="D29" s="19">
        <f>+$C$3*(Capex!D17-Capex!D9)</f>
        <v>13140</v>
      </c>
      <c r="E29" s="19">
        <f>+$C$3*(Capex!E17-Capex!E9)</f>
        <v>475.2</v>
      </c>
      <c r="F29" s="19">
        <f>+$C$3*(Capex!F17-Capex!F9)</f>
        <v>0</v>
      </c>
      <c r="G29" s="19">
        <f>+$C$3*(Capex!G17-Capex!G9)</f>
        <v>324</v>
      </c>
      <c r="H29" s="20">
        <f>+$C$3*(Capex!H17-Capex!H9)</f>
        <v>108</v>
      </c>
    </row>
    <row r="30" spans="1:9" s="1" customFormat="1" x14ac:dyDescent="0.2">
      <c r="B30" s="21" t="s">
        <v>39</v>
      </c>
      <c r="C30" s="22"/>
      <c r="D30" s="23">
        <f>+IF(D26-D27-D28-D29&lt;0,-(D26-D27-D28-D29),0)</f>
        <v>31351.5</v>
      </c>
      <c r="E30" s="23">
        <f>+IF(E26-E27-E28-E29&lt;0,-(E26-E27-E28-E29),0)</f>
        <v>0</v>
      </c>
      <c r="F30" s="23">
        <f>+IF(F26-F27-F28-F29&lt;0,-(F26-F27-F28-F29),0)</f>
        <v>0</v>
      </c>
      <c r="G30" s="23">
        <f>+IF(G26-G27-G28-G29&lt;0,-(G26-G27-G28-G29),0)</f>
        <v>0</v>
      </c>
      <c r="H30" s="24">
        <f>+IF(H26-H27-H28-H29&lt;0,-(H26-H27-H28-H29),0)</f>
        <v>0</v>
      </c>
    </row>
    <row r="31" spans="1:9" s="1" customFormat="1" x14ac:dyDescent="0.2">
      <c r="B31" s="29" t="s">
        <v>40</v>
      </c>
      <c r="C31" s="30"/>
      <c r="D31" s="31">
        <f>+IF(D26-D27-D28-D29&gt;0,(D26-D27-D28-D29),0)</f>
        <v>0</v>
      </c>
      <c r="E31" s="31">
        <f>+IF(E26-E27-E28-E29&gt;0,(E26-E27-E28-E29),0)</f>
        <v>31442.444999999989</v>
      </c>
      <c r="F31" s="31">
        <f>+IF(F26-F27-F28-F29&gt;0,(F26-F27-F28-F29),0)</f>
        <v>153276.51014999999</v>
      </c>
      <c r="G31" s="31">
        <f>+IF(G26-G27-G28-G29&gt;0,(G26-G27-G28-G29),0)</f>
        <v>115988.60200050005</v>
      </c>
      <c r="H31" s="32">
        <f>+IF(H26-H27-H28-H29&gt;0,(H26-H27-H28-H29),0)</f>
        <v>455380.1028086851</v>
      </c>
    </row>
    <row r="32" spans="1:9" s="1" customFormat="1" x14ac:dyDescent="0.2">
      <c r="B32" s="21" t="s">
        <v>41</v>
      </c>
      <c r="C32" s="22"/>
      <c r="D32" s="23">
        <f>+D31/12</f>
        <v>0</v>
      </c>
      <c r="E32" s="23">
        <f>+E31/12</f>
        <v>2620.2037499999992</v>
      </c>
      <c r="F32" s="23">
        <f>+F31/12</f>
        <v>12773.042512499998</v>
      </c>
      <c r="G32" s="23">
        <f>+G31/12</f>
        <v>9665.7168333750033</v>
      </c>
      <c r="H32" s="24">
        <f>+H31/12</f>
        <v>37948.341900723761</v>
      </c>
    </row>
    <row r="33" spans="1:8" s="1" customFormat="1" x14ac:dyDescent="0.2">
      <c r="D33" s="11"/>
      <c r="E33" s="11"/>
      <c r="F33" s="11"/>
      <c r="G33" s="11"/>
      <c r="H33" s="11"/>
    </row>
    <row r="34" spans="1:8" s="1" customFormat="1" x14ac:dyDescent="0.2">
      <c r="A34" s="1" t="s">
        <v>47</v>
      </c>
      <c r="D34" s="11"/>
      <c r="E34" s="11"/>
      <c r="F34" s="11"/>
      <c r="G34" s="11"/>
      <c r="H34" s="11"/>
    </row>
    <row r="35" spans="1:8" s="1" customFormat="1" x14ac:dyDescent="0.2">
      <c r="B35" s="33" t="s">
        <v>42</v>
      </c>
      <c r="C35" s="34"/>
      <c r="D35" s="35"/>
      <c r="E35" s="35"/>
      <c r="F35" s="35"/>
      <c r="G35" s="35"/>
      <c r="H35" s="36"/>
    </row>
    <row r="36" spans="1:8" s="1" customFormat="1" x14ac:dyDescent="0.2">
      <c r="B36" s="29" t="s">
        <v>239</v>
      </c>
      <c r="C36" s="31"/>
      <c r="D36" s="31">
        <f>+Impuestos!D21-Impuestos!D23</f>
        <v>0</v>
      </c>
      <c r="E36" s="31">
        <f>+Impuestos!E21-Impuestos!E23</f>
        <v>0</v>
      </c>
      <c r="F36" s="31">
        <f>+Impuestos!F21-Impuestos!F23</f>
        <v>0</v>
      </c>
      <c r="G36" s="31">
        <f>+Impuestos!G21-Impuestos!G23</f>
        <v>0</v>
      </c>
      <c r="H36" s="180">
        <f>+Impuestos!H21-Impuestos!H23</f>
        <v>0</v>
      </c>
    </row>
    <row r="37" spans="1:8" s="9" customFormat="1" x14ac:dyDescent="0.2">
      <c r="B37" s="29" t="s">
        <v>27</v>
      </c>
      <c r="C37" s="31"/>
      <c r="D37" s="31">
        <f t="shared" ref="D37:H38" si="0">+D12</f>
        <v>0</v>
      </c>
      <c r="E37" s="31">
        <f t="shared" si="0"/>
        <v>0</v>
      </c>
      <c r="F37" s="31">
        <f t="shared" si="0"/>
        <v>0</v>
      </c>
      <c r="G37" s="31">
        <f t="shared" si="0"/>
        <v>0</v>
      </c>
      <c r="H37" s="32">
        <f t="shared" si="0"/>
        <v>0</v>
      </c>
    </row>
    <row r="38" spans="1:8" s="9" customFormat="1" x14ac:dyDescent="0.2">
      <c r="B38" s="29" t="s">
        <v>275</v>
      </c>
      <c r="C38" s="31"/>
      <c r="D38" s="31">
        <f t="shared" si="0"/>
        <v>13638.698630136987</v>
      </c>
      <c r="E38" s="31">
        <f t="shared" si="0"/>
        <v>27822.945205479453</v>
      </c>
      <c r="F38" s="31">
        <f t="shared" si="0"/>
        <v>66199.133527397265</v>
      </c>
      <c r="G38" s="31">
        <f t="shared" si="0"/>
        <v>89411.816712328786</v>
      </c>
      <c r="H38" s="32">
        <f t="shared" si="0"/>
        <v>112825.79111539728</v>
      </c>
    </row>
    <row r="39" spans="1:8" s="9" customFormat="1" x14ac:dyDescent="0.2">
      <c r="B39" s="29" t="s">
        <v>43</v>
      </c>
      <c r="C39" s="31"/>
      <c r="D39" s="31">
        <f>+D30</f>
        <v>31351.5</v>
      </c>
      <c r="E39" s="31">
        <f>+E30</f>
        <v>0</v>
      </c>
      <c r="F39" s="31">
        <f>+F30</f>
        <v>0</v>
      </c>
      <c r="G39" s="31">
        <f>+G30</f>
        <v>0</v>
      </c>
      <c r="H39" s="32">
        <f>+H30</f>
        <v>0</v>
      </c>
    </row>
    <row r="40" spans="1:8" s="9" customFormat="1" x14ac:dyDescent="0.2">
      <c r="B40" s="29"/>
      <c r="C40" s="30"/>
      <c r="D40" s="31"/>
      <c r="E40" s="31"/>
      <c r="F40" s="31"/>
      <c r="G40" s="31"/>
      <c r="H40" s="32"/>
    </row>
    <row r="41" spans="1:8" s="9" customFormat="1" x14ac:dyDescent="0.2">
      <c r="B41" s="21" t="s">
        <v>44</v>
      </c>
      <c r="C41" s="22"/>
      <c r="D41" s="31"/>
      <c r="E41" s="31"/>
      <c r="F41" s="31"/>
      <c r="G41" s="31"/>
      <c r="H41" s="32"/>
    </row>
    <row r="42" spans="1:8" s="9" customFormat="1" x14ac:dyDescent="0.2">
      <c r="B42" s="29" t="str">
        <f>+'Balance histórico'!B34</f>
        <v>Proveedores</v>
      </c>
      <c r="C42" s="31"/>
      <c r="D42" s="31">
        <f>+D19</f>
        <v>7273.9726027397264</v>
      </c>
      <c r="E42" s="31">
        <f>+E19</f>
        <v>14838.904109589041</v>
      </c>
      <c r="F42" s="31">
        <f>+F19</f>
        <v>53494.24931506849</v>
      </c>
      <c r="G42" s="31">
        <f>+G19</f>
        <v>0</v>
      </c>
      <c r="H42" s="32">
        <f>+H19</f>
        <v>107453.13439561645</v>
      </c>
    </row>
    <row r="43" spans="1:8" s="9" customFormat="1" x14ac:dyDescent="0.2">
      <c r="B43" s="29" t="str">
        <f>+'Balance histórico'!B35</f>
        <v>Acreedores por prestaciones de servicios</v>
      </c>
      <c r="C43" s="31"/>
      <c r="D43" s="31">
        <f>+D23</f>
        <v>20011.910958904111</v>
      </c>
      <c r="E43" s="31">
        <f>+E23</f>
        <v>22216.639931506848</v>
      </c>
      <c r="F43" s="31">
        <f>+F23</f>
        <v>24281.362267808217</v>
      </c>
      <c r="G43" s="31">
        <f>+G23</f>
        <v>26351.820993472604</v>
      </c>
      <c r="H43" s="32">
        <f>+H23</f>
        <v>29155.689919720473</v>
      </c>
    </row>
    <row r="44" spans="1:8" s="9" customFormat="1" x14ac:dyDescent="0.2">
      <c r="B44" s="29" t="str">
        <f>+'Balance histórico'!B36</f>
        <v>Remuneraciones pendientes</v>
      </c>
      <c r="C44" s="31"/>
      <c r="D44" s="31">
        <v>0</v>
      </c>
      <c r="E44" s="31">
        <v>0</v>
      </c>
      <c r="F44" s="31">
        <v>0</v>
      </c>
      <c r="G44" s="31">
        <v>0</v>
      </c>
      <c r="H44" s="32">
        <v>0</v>
      </c>
    </row>
    <row r="45" spans="1:8" s="9" customFormat="1" x14ac:dyDescent="0.2">
      <c r="B45" s="29" t="str">
        <f>+'Balance histórico'!B37</f>
        <v>HP acreedora</v>
      </c>
      <c r="C45" s="31"/>
      <c r="D45" s="31">
        <f>+D32</f>
        <v>0</v>
      </c>
      <c r="E45" s="31">
        <f>+E32</f>
        <v>2620.2037499999992</v>
      </c>
      <c r="F45" s="31">
        <f>+F32</f>
        <v>12773.042512499998</v>
      </c>
      <c r="G45" s="31">
        <f>+G32</f>
        <v>9665.7168333750033</v>
      </c>
      <c r="H45" s="32">
        <f>+H32</f>
        <v>37948.341900723761</v>
      </c>
    </row>
    <row r="46" spans="1:8" s="9" customFormat="1" x14ac:dyDescent="0.2">
      <c r="B46" s="29" t="str">
        <f>+'Balance histórico'!B38</f>
        <v>Seguridad social</v>
      </c>
      <c r="C46" s="31"/>
      <c r="D46" s="31" t="e">
        <f>+#REF!</f>
        <v>#REF!</v>
      </c>
      <c r="E46" s="31" t="e">
        <f>+#REF!</f>
        <v>#REF!</v>
      </c>
      <c r="F46" s="31" t="e">
        <f>+#REF!</f>
        <v>#REF!</v>
      </c>
      <c r="G46" s="31" t="e">
        <f>+#REF!</f>
        <v>#REF!</v>
      </c>
      <c r="H46" s="32" t="e">
        <f>+#REF!</f>
        <v>#REF!</v>
      </c>
    </row>
    <row r="47" spans="1:8" s="9" customFormat="1" x14ac:dyDescent="0.2">
      <c r="B47" s="29"/>
      <c r="C47" s="30"/>
      <c r="D47" s="31"/>
      <c r="E47" s="31"/>
      <c r="F47" s="31"/>
      <c r="G47" s="31"/>
      <c r="H47" s="32"/>
    </row>
    <row r="48" spans="1:8" s="9" customFormat="1" x14ac:dyDescent="0.2">
      <c r="B48" s="21" t="s">
        <v>47</v>
      </c>
      <c r="C48" s="30"/>
      <c r="D48" s="31"/>
      <c r="E48" s="31"/>
      <c r="F48" s="31"/>
      <c r="G48" s="31"/>
      <c r="H48" s="32"/>
    </row>
    <row r="49" spans="1:8" s="9" customFormat="1" x14ac:dyDescent="0.2">
      <c r="B49" s="29" t="s">
        <v>239</v>
      </c>
      <c r="C49" s="30"/>
      <c r="D49" s="31">
        <f t="shared" ref="D49:H52" si="1">+D36-C36</f>
        <v>0</v>
      </c>
      <c r="E49" s="31">
        <f t="shared" si="1"/>
        <v>0</v>
      </c>
      <c r="F49" s="31">
        <f t="shared" si="1"/>
        <v>0</v>
      </c>
      <c r="G49" s="31">
        <f t="shared" si="1"/>
        <v>0</v>
      </c>
      <c r="H49" s="32">
        <f t="shared" si="1"/>
        <v>0</v>
      </c>
    </row>
    <row r="50" spans="1:8" s="9" customFormat="1" x14ac:dyDescent="0.2">
      <c r="B50" s="29" t="str">
        <f>+B37</f>
        <v>Existencias</v>
      </c>
      <c r="C50" s="30"/>
      <c r="D50" s="31">
        <f t="shared" si="1"/>
        <v>0</v>
      </c>
      <c r="E50" s="31">
        <f t="shared" si="1"/>
        <v>0</v>
      </c>
      <c r="F50" s="31">
        <f t="shared" si="1"/>
        <v>0</v>
      </c>
      <c r="G50" s="31">
        <f t="shared" si="1"/>
        <v>0</v>
      </c>
      <c r="H50" s="32">
        <f t="shared" si="1"/>
        <v>0</v>
      </c>
    </row>
    <row r="51" spans="1:8" s="9" customFormat="1" x14ac:dyDescent="0.2">
      <c r="B51" s="29" t="str">
        <f>+B38</f>
        <v>Clientes nacional</v>
      </c>
      <c r="C51" s="30"/>
      <c r="D51" s="31">
        <f t="shared" si="1"/>
        <v>13638.698630136987</v>
      </c>
      <c r="E51" s="31">
        <f t="shared" si="1"/>
        <v>14184.246575342466</v>
      </c>
      <c r="F51" s="31">
        <f t="shared" si="1"/>
        <v>38376.188321917813</v>
      </c>
      <c r="G51" s="31">
        <f t="shared" si="1"/>
        <v>23212.68318493152</v>
      </c>
      <c r="H51" s="32">
        <f t="shared" si="1"/>
        <v>23413.974403068496</v>
      </c>
    </row>
    <row r="52" spans="1:8" s="9" customFormat="1" x14ac:dyDescent="0.2">
      <c r="B52" s="29" t="str">
        <f>+B39</f>
        <v>HP deudora</v>
      </c>
      <c r="C52" s="30"/>
      <c r="D52" s="31">
        <f t="shared" si="1"/>
        <v>31351.5</v>
      </c>
      <c r="E52" s="31">
        <f t="shared" si="1"/>
        <v>-31351.5</v>
      </c>
      <c r="F52" s="31">
        <f t="shared" si="1"/>
        <v>0</v>
      </c>
      <c r="G52" s="31">
        <f t="shared" si="1"/>
        <v>0</v>
      </c>
      <c r="H52" s="32">
        <f t="shared" si="1"/>
        <v>0</v>
      </c>
    </row>
    <row r="53" spans="1:8" s="9" customFormat="1" x14ac:dyDescent="0.2">
      <c r="B53" s="29" t="str">
        <f>+B42</f>
        <v>Proveedores</v>
      </c>
      <c r="C53" s="30"/>
      <c r="D53" s="31">
        <f>+D42-C42</f>
        <v>7273.9726027397264</v>
      </c>
      <c r="E53" s="31">
        <f t="shared" ref="D53:H54" si="2">+E42-D42</f>
        <v>7564.9315068493142</v>
      </c>
      <c r="F53" s="31">
        <f t="shared" si="2"/>
        <v>38655.345205479447</v>
      </c>
      <c r="G53" s="31">
        <f t="shared" si="2"/>
        <v>-53494.24931506849</v>
      </c>
      <c r="H53" s="32">
        <f t="shared" si="2"/>
        <v>107453.13439561645</v>
      </c>
    </row>
    <row r="54" spans="1:8" s="9" customFormat="1" x14ac:dyDescent="0.2">
      <c r="B54" s="29" t="str">
        <f>+B43</f>
        <v>Acreedores por prestaciones de servicios</v>
      </c>
      <c r="C54" s="30"/>
      <c r="D54" s="31">
        <f t="shared" si="2"/>
        <v>20011.910958904111</v>
      </c>
      <c r="E54" s="31">
        <f t="shared" si="2"/>
        <v>2204.7289726027375</v>
      </c>
      <c r="F54" s="31">
        <f t="shared" si="2"/>
        <v>2064.7223363013691</v>
      </c>
      <c r="G54" s="31">
        <f t="shared" si="2"/>
        <v>2070.4587256643863</v>
      </c>
      <c r="H54" s="32">
        <f t="shared" si="2"/>
        <v>2803.8689262478692</v>
      </c>
    </row>
    <row r="55" spans="1:8" s="9" customFormat="1" x14ac:dyDescent="0.2">
      <c r="B55" s="29" t="str">
        <f>+B44</f>
        <v>Remuneraciones pendientes</v>
      </c>
      <c r="C55" s="30"/>
      <c r="D55" s="31">
        <f>+D44-C44</f>
        <v>0</v>
      </c>
      <c r="E55" s="31">
        <f t="shared" ref="E55:H56" si="3">+E44-D44</f>
        <v>0</v>
      </c>
      <c r="F55" s="31">
        <f t="shared" si="3"/>
        <v>0</v>
      </c>
      <c r="G55" s="31">
        <f t="shared" si="3"/>
        <v>0</v>
      </c>
      <c r="H55" s="32">
        <f t="shared" si="3"/>
        <v>0</v>
      </c>
    </row>
    <row r="56" spans="1:8" s="9" customFormat="1" x14ac:dyDescent="0.2">
      <c r="B56" s="29" t="str">
        <f>+B45</f>
        <v>HP acreedora</v>
      </c>
      <c r="C56" s="30"/>
      <c r="D56" s="31">
        <f>+D45-C45</f>
        <v>0</v>
      </c>
      <c r="E56" s="31">
        <f t="shared" si="3"/>
        <v>2620.2037499999992</v>
      </c>
      <c r="F56" s="31">
        <f t="shared" si="3"/>
        <v>10152.8387625</v>
      </c>
      <c r="G56" s="31">
        <f t="shared" si="3"/>
        <v>-3107.3256791249951</v>
      </c>
      <c r="H56" s="32">
        <f t="shared" si="3"/>
        <v>28282.625067348759</v>
      </c>
    </row>
    <row r="57" spans="1:8" s="1" customFormat="1" x14ac:dyDescent="0.2">
      <c r="B57" s="25" t="s">
        <v>46</v>
      </c>
      <c r="C57" s="26"/>
      <c r="D57" s="27">
        <f>-SUM(D49:D52)+SUM(D53:D56)</f>
        <v>-17704.315068493153</v>
      </c>
      <c r="E57" s="27">
        <f>-SUM(E49:E52)+SUM(E53:E56)</f>
        <v>29557.117654109585</v>
      </c>
      <c r="F57" s="27">
        <f>-SUM(F49:F52)+SUM(F53:F56)</f>
        <v>12496.717982362999</v>
      </c>
      <c r="G57" s="27">
        <f>-SUM(G49:G52)+SUM(G53:G56)</f>
        <v>-77743.799453460611</v>
      </c>
      <c r="H57" s="28">
        <f>-SUM(H49:H52)+SUM(H53:H56)</f>
        <v>115125.65398614459</v>
      </c>
    </row>
    <row r="58" spans="1:8" s="9" customFormat="1" x14ac:dyDescent="0.2">
      <c r="D58" s="12"/>
      <c r="E58" s="12"/>
      <c r="F58" s="12"/>
      <c r="G58" s="12"/>
      <c r="H58" s="12"/>
    </row>
    <row r="59" spans="1:8" x14ac:dyDescent="0.2">
      <c r="A59" s="1"/>
    </row>
    <row r="60" spans="1:8" x14ac:dyDescent="0.2">
      <c r="B60" s="18"/>
      <c r="C60" s="18"/>
      <c r="D60" s="19"/>
      <c r="E60" s="19"/>
      <c r="F60" s="19"/>
      <c r="G60" s="19"/>
      <c r="H60" s="19"/>
    </row>
    <row r="61" spans="1:8" x14ac:dyDescent="0.2">
      <c r="B61" s="18"/>
      <c r="C61" s="18"/>
      <c r="D61" s="19"/>
      <c r="E61" s="19"/>
      <c r="F61" s="19"/>
      <c r="G61" s="19"/>
      <c r="H61" s="19"/>
    </row>
    <row r="62" spans="1:8" x14ac:dyDescent="0.2">
      <c r="B62" s="18"/>
      <c r="C62" s="18"/>
      <c r="D62" s="19"/>
      <c r="E62" s="19"/>
      <c r="F62" s="19"/>
      <c r="G62" s="19"/>
      <c r="H62" s="19"/>
    </row>
    <row r="63" spans="1:8" x14ac:dyDescent="0.2">
      <c r="B63" s="18"/>
      <c r="C63" s="18"/>
      <c r="D63" s="19"/>
      <c r="E63" s="19"/>
      <c r="F63" s="19"/>
      <c r="G63" s="19"/>
      <c r="H63" s="19"/>
    </row>
    <row r="64" spans="1:8" x14ac:dyDescent="0.2">
      <c r="B64" s="18"/>
      <c r="C64" s="18"/>
      <c r="D64" s="19"/>
      <c r="E64" s="19"/>
      <c r="F64" s="19"/>
      <c r="G64" s="19"/>
      <c r="H64" s="19"/>
    </row>
    <row r="65" spans="2:8" x14ac:dyDescent="0.2">
      <c r="B65" s="18"/>
      <c r="C65" s="18"/>
      <c r="D65" s="19"/>
      <c r="E65" s="19"/>
      <c r="F65" s="19"/>
      <c r="G65" s="19"/>
      <c r="H65" s="19"/>
    </row>
    <row r="66" spans="2:8" x14ac:dyDescent="0.2">
      <c r="B66" s="18"/>
      <c r="C66" s="18"/>
      <c r="D66" s="19"/>
      <c r="E66" s="19"/>
      <c r="F66" s="19"/>
      <c r="G66" s="19"/>
      <c r="H66" s="19"/>
    </row>
    <row r="67" spans="2:8" x14ac:dyDescent="0.2">
      <c r="B67" s="18"/>
      <c r="C67" s="18"/>
      <c r="D67" s="19"/>
      <c r="E67" s="19"/>
      <c r="F67" s="19"/>
      <c r="G67" s="19"/>
      <c r="H67" s="19"/>
    </row>
    <row r="68" spans="2:8" x14ac:dyDescent="0.2">
      <c r="B68" s="18"/>
      <c r="C68" s="18"/>
      <c r="D68" s="19"/>
      <c r="E68" s="19"/>
      <c r="F68" s="19"/>
      <c r="G68" s="19"/>
      <c r="H68" s="19"/>
    </row>
    <row r="69" spans="2:8" s="1" customFormat="1" x14ac:dyDescent="0.2">
      <c r="B69" s="22"/>
      <c r="C69" s="22"/>
      <c r="D69" s="23"/>
      <c r="E69" s="23"/>
      <c r="F69" s="23"/>
      <c r="G69" s="23"/>
      <c r="H69" s="23"/>
    </row>
  </sheetData>
  <phoneticPr fontId="0" type="noConversion"/>
  <printOptions horizontalCentered="1" verticalCentered="1"/>
  <pageMargins left="0.78740157480314965" right="0.78740157480314965" top="0.98425196850393704" bottom="0.98425196850393704" header="0" footer="0"/>
  <pageSetup paperSize="9" scale="5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zoomScaleNormal="100" workbookViewId="0">
      <selection activeCell="F15" sqref="F15"/>
    </sheetView>
  </sheetViews>
  <sheetFormatPr baseColWidth="10" defaultRowHeight="12.75" x14ac:dyDescent="0.2"/>
  <cols>
    <col min="1" max="1" width="2.42578125" style="2" customWidth="1"/>
    <col min="2" max="2" width="27.42578125" style="2" customWidth="1"/>
    <col min="3" max="6" width="11.42578125" style="2"/>
    <col min="7" max="7" width="9.85546875" style="2" bestFit="1" customWidth="1"/>
    <col min="8" max="16384" width="11.42578125" style="2"/>
  </cols>
  <sheetData>
    <row r="1" spans="1:7" x14ac:dyDescent="0.2">
      <c r="A1" s="1" t="s">
        <v>210</v>
      </c>
    </row>
    <row r="2" spans="1:7" x14ac:dyDescent="0.2">
      <c r="A2" s="2" t="s">
        <v>2</v>
      </c>
    </row>
    <row r="4" spans="1:7" x14ac:dyDescent="0.2">
      <c r="C4" s="38" t="s">
        <v>257</v>
      </c>
      <c r="D4" s="38" t="s">
        <v>258</v>
      </c>
      <c r="E4" s="38" t="s">
        <v>259</v>
      </c>
      <c r="F4" s="38" t="s">
        <v>260</v>
      </c>
      <c r="G4" s="38" t="s">
        <v>261</v>
      </c>
    </row>
    <row r="5" spans="1:7" x14ac:dyDescent="0.2">
      <c r="B5" s="159" t="s">
        <v>277</v>
      </c>
      <c r="C5" s="48">
        <v>25000</v>
      </c>
      <c r="D5" s="48">
        <v>0</v>
      </c>
      <c r="E5" s="48">
        <v>0</v>
      </c>
      <c r="F5" s="48">
        <v>0</v>
      </c>
      <c r="G5" s="48">
        <v>0</v>
      </c>
    </row>
    <row r="6" spans="1:7" x14ac:dyDescent="0.2">
      <c r="B6" s="159"/>
      <c r="C6" s="48"/>
      <c r="D6" s="48"/>
      <c r="E6" s="48"/>
      <c r="F6" s="157"/>
      <c r="G6" s="157"/>
    </row>
    <row r="7" spans="1:7" x14ac:dyDescent="0.2">
      <c r="B7" s="159"/>
      <c r="C7" s="48"/>
      <c r="D7" s="48"/>
      <c r="E7" s="48"/>
      <c r="F7" s="157"/>
      <c r="G7" s="157"/>
    </row>
    <row r="8" spans="1:7" x14ac:dyDescent="0.2">
      <c r="B8" s="159"/>
      <c r="C8" s="48"/>
      <c r="D8" s="48"/>
      <c r="E8" s="48"/>
      <c r="F8" s="157"/>
      <c r="G8" s="157"/>
    </row>
    <row r="9" spans="1:7" x14ac:dyDescent="0.2">
      <c r="B9" s="159"/>
      <c r="C9" s="48"/>
      <c r="D9" s="48"/>
      <c r="E9" s="48"/>
      <c r="F9" s="157"/>
      <c r="G9" s="157"/>
    </row>
    <row r="10" spans="1:7" x14ac:dyDescent="0.2">
      <c r="B10" s="159"/>
      <c r="C10" s="48"/>
      <c r="D10" s="48"/>
      <c r="E10" s="48"/>
      <c r="F10" s="157"/>
      <c r="G10" s="157"/>
    </row>
    <row r="11" spans="1:7" x14ac:dyDescent="0.2">
      <c r="B11" s="159"/>
      <c r="C11" s="48"/>
      <c r="D11" s="48"/>
      <c r="E11" s="48"/>
      <c r="F11" s="157"/>
      <c r="G11" s="157"/>
    </row>
    <row r="12" spans="1:7" x14ac:dyDescent="0.2">
      <c r="B12" s="159"/>
      <c r="C12" s="48"/>
      <c r="D12" s="48"/>
      <c r="E12" s="48"/>
      <c r="F12" s="157"/>
      <c r="G12" s="157"/>
    </row>
    <row r="13" spans="1:7" x14ac:dyDescent="0.2">
      <c r="B13" s="159"/>
      <c r="C13" s="48"/>
      <c r="D13" s="48"/>
      <c r="E13" s="48"/>
      <c r="F13" s="157"/>
      <c r="G13" s="157"/>
    </row>
    <row r="14" spans="1:7" s="1" customFormat="1" x14ac:dyDescent="0.2">
      <c r="B14" s="1" t="s">
        <v>0</v>
      </c>
      <c r="C14" s="164">
        <f>SUM(C5:C13)</f>
        <v>25000</v>
      </c>
      <c r="D14" s="164">
        <f>SUM(D5:D13)</f>
        <v>0</v>
      </c>
      <c r="E14" s="164">
        <f>SUM(E5:E13)</f>
        <v>0</v>
      </c>
      <c r="F14" s="164">
        <f>SUM(F5:F13)</f>
        <v>0</v>
      </c>
      <c r="G14" s="164">
        <f>SUM(G5:G13)</f>
        <v>0</v>
      </c>
    </row>
    <row r="16" spans="1:7" x14ac:dyDescent="0.2">
      <c r="B16" s="160" t="s">
        <v>211</v>
      </c>
    </row>
  </sheetData>
  <phoneticPr fontId="12" type="noConversion"/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206"/>
  <sheetViews>
    <sheetView tabSelected="1" zoomScale="65" zoomScaleNormal="65" workbookViewId="0">
      <pane xSplit="2" ySplit="9" topLeftCell="C16" activePane="bottomRight" state="frozen"/>
      <selection activeCell="F15" sqref="F15"/>
      <selection pane="topRight" activeCell="F15" sqref="F15"/>
      <selection pane="bottomLeft" activeCell="F15" sqref="F15"/>
      <selection pane="bottomRight" activeCell="F15" sqref="F15"/>
    </sheetView>
  </sheetViews>
  <sheetFormatPr baseColWidth="10" defaultColWidth="11.42578125" defaultRowHeight="12.75" x14ac:dyDescent="0.2"/>
  <cols>
    <col min="1" max="1" width="61.85546875" customWidth="1"/>
    <col min="2" max="8" width="15.7109375" customWidth="1"/>
    <col min="9" max="9" width="1.7109375" customWidth="1"/>
    <col min="10" max="21" width="11.42578125" style="2" customWidth="1"/>
    <col min="22" max="92" width="11.42578125" style="110" customWidth="1"/>
  </cols>
  <sheetData>
    <row r="1" spans="1:92" x14ac:dyDescent="0.2">
      <c r="A1" s="107"/>
      <c r="B1" s="108"/>
      <c r="C1" s="109"/>
      <c r="D1" s="109"/>
      <c r="E1" s="109"/>
      <c r="F1" s="109"/>
      <c r="G1" s="109"/>
      <c r="H1" s="109"/>
      <c r="I1" s="109"/>
    </row>
    <row r="2" spans="1:92" x14ac:dyDescent="0.2">
      <c r="A2" s="18"/>
      <c r="B2" s="111"/>
      <c r="C2" s="18"/>
      <c r="D2" s="18"/>
      <c r="E2" s="18"/>
      <c r="F2" s="18"/>
      <c r="G2" s="18"/>
      <c r="H2" s="18"/>
      <c r="I2" s="51"/>
    </row>
    <row r="3" spans="1:92" ht="30" x14ac:dyDescent="0.4">
      <c r="A3" s="112" t="s">
        <v>172</v>
      </c>
      <c r="B3" s="113"/>
      <c r="C3" s="113"/>
      <c r="D3" s="113"/>
      <c r="E3" s="113"/>
      <c r="F3" s="113"/>
      <c r="G3" s="114"/>
      <c r="H3" s="114"/>
      <c r="I3" s="114"/>
    </row>
    <row r="4" spans="1:92" s="116" customFormat="1" ht="12.75" customHeight="1" x14ac:dyDescent="0.2">
      <c r="A4" s="22"/>
      <c r="B4" s="22"/>
      <c r="C4" s="22"/>
      <c r="D4" s="22"/>
      <c r="E4" s="22"/>
      <c r="F4" s="22"/>
      <c r="G4" s="30"/>
      <c r="H4" s="30"/>
      <c r="I4" s="30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</row>
    <row r="5" spans="1:92" s="116" customFormat="1" ht="12.75" customHeight="1" thickBot="1" x14ac:dyDescent="0.25">
      <c r="A5" s="117" t="s">
        <v>173</v>
      </c>
      <c r="B5" s="118"/>
      <c r="C5" s="119"/>
      <c r="D5" s="120"/>
      <c r="E5" s="120"/>
      <c r="F5" s="120"/>
      <c r="G5" s="120"/>
      <c r="H5" s="120"/>
      <c r="I5" s="120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</row>
    <row r="6" spans="1:92" s="116" customFormat="1" ht="12.75" customHeight="1" thickBot="1" x14ac:dyDescent="0.25">
      <c r="A6" s="121"/>
      <c r="B6" s="122"/>
      <c r="C6" s="121"/>
      <c r="D6" s="123"/>
      <c r="E6" s="123"/>
      <c r="F6" s="123"/>
      <c r="G6" s="123"/>
      <c r="H6" s="123"/>
      <c r="I6" s="124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</row>
    <row r="7" spans="1:92" s="116" customFormat="1" ht="12.75" customHeight="1" x14ac:dyDescent="0.2">
      <c r="A7" s="125"/>
      <c r="B7" s="126"/>
      <c r="C7" s="127"/>
      <c r="D7" s="127" t="str">
        <f>+PyG!D4</f>
        <v>Año 1</v>
      </c>
      <c r="E7" s="127" t="str">
        <f>+PyG!E4</f>
        <v>Año 2</v>
      </c>
      <c r="F7" s="127" t="str">
        <f>+PyG!F4</f>
        <v>Año 3</v>
      </c>
      <c r="G7" s="127" t="str">
        <f>+PyG!G4</f>
        <v>Año 4</v>
      </c>
      <c r="H7" s="127" t="str">
        <f>+PyG!H4</f>
        <v>Año 5</v>
      </c>
      <c r="I7" s="125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</row>
    <row r="8" spans="1:92" s="116" customFormat="1" ht="12.75" customHeight="1" x14ac:dyDescent="0.2">
      <c r="A8" s="22"/>
      <c r="B8" s="111"/>
      <c r="C8" s="22"/>
      <c r="D8" s="22"/>
      <c r="E8" s="22"/>
      <c r="F8" s="22"/>
      <c r="G8" s="30"/>
      <c r="H8" s="30"/>
      <c r="I8" s="30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</row>
    <row r="9" spans="1:92" ht="12.75" customHeight="1" x14ac:dyDescent="0.2">
      <c r="A9" s="1" t="s">
        <v>174</v>
      </c>
      <c r="B9" s="111"/>
      <c r="C9" s="128"/>
      <c r="D9" s="128"/>
      <c r="E9" s="128"/>
      <c r="F9" s="128"/>
      <c r="G9" s="128"/>
      <c r="H9" s="128"/>
      <c r="I9" s="9"/>
    </row>
    <row r="10" spans="1:92" ht="12.75" customHeight="1" x14ac:dyDescent="0.2">
      <c r="A10" s="129" t="s">
        <v>175</v>
      </c>
      <c r="B10" s="40" t="s">
        <v>176</v>
      </c>
      <c r="C10" s="130"/>
      <c r="D10" s="130">
        <f>+PyG!D38</f>
        <v>-277955.33333333337</v>
      </c>
      <c r="E10" s="130">
        <f>+PyG!E38</f>
        <v>-107400.50733333328</v>
      </c>
      <c r="F10" s="130">
        <f>+PyG!F38</f>
        <v>436040.25131766667</v>
      </c>
      <c r="G10" s="130">
        <f>+PyG!G38</f>
        <v>168742.10693998012</v>
      </c>
      <c r="H10" s="130">
        <f>+PyG!H38</f>
        <v>1356580.1199511699</v>
      </c>
      <c r="I10" s="9"/>
    </row>
    <row r="11" spans="1:92" ht="12.75" customHeight="1" x14ac:dyDescent="0.2">
      <c r="A11" s="129" t="s">
        <v>177</v>
      </c>
      <c r="B11" s="40" t="s">
        <v>176</v>
      </c>
      <c r="C11" s="130"/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9"/>
    </row>
    <row r="12" spans="1:92" ht="12.75" customHeight="1" x14ac:dyDescent="0.2">
      <c r="A12" s="129" t="s">
        <v>65</v>
      </c>
      <c r="B12" s="40" t="s">
        <v>176</v>
      </c>
      <c r="C12" s="130"/>
      <c r="D12" s="130">
        <f>+PyG!D24</f>
        <v>43150.133333333331</v>
      </c>
      <c r="E12" s="130">
        <f>+PyG!E24</f>
        <v>67199.437333333335</v>
      </c>
      <c r="F12" s="130">
        <f>+PyG!F24</f>
        <v>98840.380453333331</v>
      </c>
      <c r="G12" s="130">
        <f>+PyG!G24</f>
        <v>122443.21853360001</v>
      </c>
      <c r="H12" s="130">
        <f>+PyG!H24</f>
        <v>164690.675089608</v>
      </c>
      <c r="I12" s="9"/>
    </row>
    <row r="13" spans="1:92" ht="12.75" customHeight="1" x14ac:dyDescent="0.2">
      <c r="A13" t="s">
        <v>178</v>
      </c>
      <c r="B13" s="40" t="s">
        <v>176</v>
      </c>
      <c r="C13" s="130"/>
      <c r="D13" s="130">
        <v>0</v>
      </c>
      <c r="E13" s="130">
        <v>0</v>
      </c>
      <c r="F13" s="130">
        <v>0</v>
      </c>
      <c r="G13" s="130">
        <v>0</v>
      </c>
      <c r="H13" s="130">
        <v>0</v>
      </c>
      <c r="I13" s="9"/>
    </row>
    <row r="14" spans="1:92" ht="12.75" customHeight="1" x14ac:dyDescent="0.2">
      <c r="A14" s="129" t="s">
        <v>94</v>
      </c>
      <c r="B14" s="40" t="s">
        <v>176</v>
      </c>
      <c r="C14" s="130"/>
      <c r="D14" s="130">
        <f>+'Masas de balance'!D57</f>
        <v>-17704.315068493153</v>
      </c>
      <c r="E14" s="130">
        <f>+'Masas de balance'!E57</f>
        <v>29557.117654109585</v>
      </c>
      <c r="F14" s="130">
        <f>+'Masas de balance'!F57</f>
        <v>12496.717982362999</v>
      </c>
      <c r="G14" s="130">
        <f>+'Masas de balance'!G57</f>
        <v>-77743.799453460611</v>
      </c>
      <c r="H14" s="130">
        <f>+'Masas de balance'!H57</f>
        <v>115125.65398614459</v>
      </c>
      <c r="I14" s="9"/>
    </row>
    <row r="15" spans="1:92" ht="12.75" customHeight="1" x14ac:dyDescent="0.2">
      <c r="A15" s="129" t="s">
        <v>179</v>
      </c>
      <c r="B15" s="40" t="s">
        <v>176</v>
      </c>
      <c r="C15" s="130"/>
      <c r="D15" s="130">
        <v>0</v>
      </c>
      <c r="E15" s="130">
        <v>0</v>
      </c>
      <c r="F15" s="130"/>
      <c r="G15" s="130">
        <v>0</v>
      </c>
      <c r="H15" s="130">
        <v>0</v>
      </c>
      <c r="I15" s="9"/>
    </row>
    <row r="16" spans="1:92" ht="6" customHeight="1" x14ac:dyDescent="0.2">
      <c r="A16" s="131"/>
      <c r="B16" s="40"/>
      <c r="C16" s="130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4"/>
    </row>
    <row r="17" spans="1:92" ht="12.75" customHeight="1" thickBot="1" x14ac:dyDescent="0.25">
      <c r="A17" s="135" t="str">
        <f>A9</f>
        <v>Cash Flow de la Operaciones</v>
      </c>
      <c r="B17" s="136" t="s">
        <v>176</v>
      </c>
      <c r="C17" s="137"/>
      <c r="D17" s="137">
        <f>SUM(D10:D15)</f>
        <v>-252509.5150684932</v>
      </c>
      <c r="E17" s="137">
        <f>SUM(E10:E15)</f>
        <v>-10643.952345890364</v>
      </c>
      <c r="F17" s="137">
        <f>SUM(F10:F15)</f>
        <v>547377.34975336294</v>
      </c>
      <c r="G17" s="137">
        <f>SUM(G10:G15)</f>
        <v>213441.52602011955</v>
      </c>
      <c r="H17" s="137">
        <f>SUM(H10:H15)</f>
        <v>1636396.4490269225</v>
      </c>
      <c r="I17" s="138"/>
    </row>
    <row r="18" spans="1:92" s="116" customFormat="1" ht="12.75" customHeight="1" thickTop="1" x14ac:dyDescent="0.2">
      <c r="A18" s="22"/>
      <c r="B18" s="111"/>
      <c r="C18" s="22"/>
      <c r="D18" s="22"/>
      <c r="E18" s="22"/>
      <c r="F18" s="22"/>
      <c r="G18" s="30"/>
      <c r="H18" s="30"/>
      <c r="I18" s="30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5"/>
      <c r="CB18" s="115"/>
      <c r="CC18" s="115"/>
      <c r="CD18" s="115"/>
      <c r="CE18" s="115"/>
      <c r="CF18" s="115"/>
      <c r="CG18" s="115"/>
      <c r="CH18" s="115"/>
      <c r="CI18" s="115"/>
      <c r="CJ18" s="115"/>
      <c r="CK18" s="115"/>
      <c r="CL18" s="115"/>
      <c r="CM18" s="115"/>
      <c r="CN18" s="115"/>
    </row>
    <row r="19" spans="1:92" s="116" customFormat="1" ht="12.75" customHeight="1" x14ac:dyDescent="0.2">
      <c r="A19" s="22"/>
      <c r="B19" s="111"/>
      <c r="C19" s="22"/>
      <c r="D19" s="22"/>
      <c r="E19" s="22"/>
      <c r="F19" s="22"/>
      <c r="G19" s="30"/>
      <c r="H19" s="30"/>
      <c r="I19" s="30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</row>
    <row r="20" spans="1:92" s="116" customFormat="1" ht="12.75" customHeight="1" x14ac:dyDescent="0.2">
      <c r="A20" s="22" t="s">
        <v>180</v>
      </c>
      <c r="B20" s="111"/>
      <c r="C20" s="22"/>
      <c r="D20" s="22"/>
      <c r="E20" s="22"/>
      <c r="F20" s="22"/>
      <c r="G20" s="30"/>
      <c r="H20" s="30"/>
      <c r="I20" s="30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  <c r="CM20" s="115"/>
      <c r="CN20" s="115"/>
    </row>
    <row r="21" spans="1:92" s="116" customFormat="1" ht="12.75" customHeight="1" x14ac:dyDescent="0.2">
      <c r="A21" s="30" t="s">
        <v>181</v>
      </c>
      <c r="B21" s="111" t="s">
        <v>176</v>
      </c>
      <c r="C21" s="30"/>
      <c r="D21" s="130">
        <f>+Capex!D6</f>
        <v>3000</v>
      </c>
      <c r="E21" s="130">
        <f>+Capex!E6</f>
        <v>0</v>
      </c>
      <c r="F21" s="130">
        <f>+Capex!F6</f>
        <v>0</v>
      </c>
      <c r="G21" s="130">
        <f>+Capex!G6</f>
        <v>0</v>
      </c>
      <c r="H21" s="130">
        <f>+Capex!H6</f>
        <v>0</v>
      </c>
      <c r="I21" s="30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115"/>
      <c r="BR21" s="115"/>
      <c r="BS21" s="115"/>
      <c r="BT21" s="115"/>
      <c r="BU21" s="115"/>
      <c r="BV21" s="115"/>
      <c r="BW21" s="115"/>
      <c r="BX21" s="115"/>
      <c r="BY21" s="115"/>
      <c r="BZ21" s="115"/>
      <c r="CA21" s="115"/>
      <c r="CB21" s="115"/>
      <c r="CC21" s="115"/>
      <c r="CD21" s="115"/>
      <c r="CE21" s="115"/>
      <c r="CF21" s="115"/>
      <c r="CG21" s="115"/>
      <c r="CH21" s="115"/>
      <c r="CI21" s="115"/>
      <c r="CJ21" s="115"/>
      <c r="CK21" s="115"/>
      <c r="CL21" s="115"/>
      <c r="CM21" s="115"/>
      <c r="CN21" s="115"/>
    </row>
    <row r="22" spans="1:92" s="116" customFormat="1" ht="12.75" customHeight="1" x14ac:dyDescent="0.2">
      <c r="A22" s="30" t="s">
        <v>182</v>
      </c>
      <c r="B22" s="111" t="s">
        <v>176</v>
      </c>
      <c r="C22" s="30"/>
      <c r="D22" s="130">
        <f>+Capex!D10</f>
        <v>148084</v>
      </c>
      <c r="E22" s="130">
        <f>+Capex!E10</f>
        <v>132606.51999999999</v>
      </c>
      <c r="F22" s="130">
        <f>+Capex!F10</f>
        <v>155204.71560000003</v>
      </c>
      <c r="G22" s="130">
        <f>+Capex!G10</f>
        <v>177880.85706800001</v>
      </c>
      <c r="H22" s="130">
        <f>+Capex!H10</f>
        <v>210637.28278004</v>
      </c>
      <c r="I22" s="130">
        <f>+Capex!I10</f>
        <v>0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115"/>
      <c r="BO22" s="115"/>
      <c r="BP22" s="115"/>
      <c r="BQ22" s="115"/>
      <c r="BR22" s="115"/>
      <c r="BS22" s="115"/>
      <c r="BT22" s="115"/>
      <c r="BU22" s="115"/>
      <c r="BV22" s="115"/>
      <c r="BW22" s="115"/>
      <c r="BX22" s="115"/>
      <c r="BY22" s="115"/>
      <c r="BZ22" s="115"/>
      <c r="CA22" s="115"/>
      <c r="CB22" s="115"/>
      <c r="CC22" s="115"/>
      <c r="CD22" s="115"/>
      <c r="CE22" s="115"/>
      <c r="CF22" s="115"/>
      <c r="CG22" s="115"/>
      <c r="CH22" s="115"/>
      <c r="CI22" s="115"/>
      <c r="CJ22" s="115"/>
      <c r="CK22" s="115"/>
      <c r="CL22" s="115"/>
      <c r="CM22" s="115"/>
      <c r="CN22" s="115"/>
    </row>
    <row r="23" spans="1:92" s="116" customFormat="1" ht="12.75" customHeight="1" x14ac:dyDescent="0.2">
      <c r="A23" s="30" t="s">
        <v>183</v>
      </c>
      <c r="B23" s="111" t="s">
        <v>176</v>
      </c>
      <c r="C23" s="30"/>
      <c r="D23" s="130">
        <f>+Capex!D15</f>
        <v>28000</v>
      </c>
      <c r="E23" s="130">
        <f>+Capex!E15</f>
        <v>2640</v>
      </c>
      <c r="F23" s="130">
        <f>+Capex!F15</f>
        <v>0</v>
      </c>
      <c r="G23" s="130">
        <f>+Capex!G15</f>
        <v>1800</v>
      </c>
      <c r="H23" s="130">
        <f>+Capex!H15</f>
        <v>600</v>
      </c>
      <c r="I23" s="30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5"/>
      <c r="BR23" s="115"/>
      <c r="BS23" s="115"/>
      <c r="BT23" s="115"/>
      <c r="BU23" s="115"/>
      <c r="BV23" s="115"/>
      <c r="BW23" s="115"/>
      <c r="BX23" s="115"/>
      <c r="BY23" s="115"/>
      <c r="BZ23" s="115"/>
      <c r="CA23" s="115"/>
      <c r="CB23" s="115"/>
      <c r="CC23" s="115"/>
      <c r="CD23" s="115"/>
      <c r="CE23" s="115"/>
      <c r="CF23" s="115"/>
      <c r="CG23" s="115"/>
      <c r="CH23" s="115"/>
      <c r="CI23" s="115"/>
      <c r="CJ23" s="115"/>
      <c r="CK23" s="115"/>
      <c r="CL23" s="115"/>
      <c r="CM23" s="115"/>
      <c r="CN23" s="115"/>
    </row>
    <row r="24" spans="1:92" s="116" customFormat="1" ht="12.75" customHeight="1" x14ac:dyDescent="0.2">
      <c r="A24" s="30" t="s">
        <v>184</v>
      </c>
      <c r="B24" s="111" t="s">
        <v>176</v>
      </c>
      <c r="C24" s="30"/>
      <c r="D24" s="130"/>
      <c r="E24" s="130"/>
      <c r="F24" s="130"/>
      <c r="G24" s="130"/>
      <c r="H24" s="130"/>
      <c r="I24" s="30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15"/>
      <c r="BR24" s="115"/>
      <c r="BS24" s="115"/>
      <c r="BT24" s="115"/>
      <c r="BU24" s="115"/>
      <c r="BV24" s="115"/>
      <c r="BW24" s="115"/>
      <c r="BX24" s="115"/>
      <c r="BY24" s="115"/>
      <c r="BZ24" s="115"/>
      <c r="CA24" s="115"/>
      <c r="CB24" s="115"/>
      <c r="CC24" s="115"/>
      <c r="CD24" s="115"/>
      <c r="CE24" s="115"/>
      <c r="CF24" s="115"/>
      <c r="CG24" s="115"/>
      <c r="CH24" s="115"/>
      <c r="CI24" s="115"/>
      <c r="CJ24" s="115"/>
      <c r="CK24" s="115"/>
      <c r="CL24" s="115"/>
      <c r="CM24" s="115"/>
      <c r="CN24" s="115"/>
    </row>
    <row r="25" spans="1:92" ht="6" customHeight="1" x14ac:dyDescent="0.2">
      <c r="A25" s="131"/>
      <c r="B25" s="40"/>
      <c r="C25" s="130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4"/>
    </row>
    <row r="26" spans="1:92" s="116" customFormat="1" ht="12.75" customHeight="1" thickBot="1" x14ac:dyDescent="0.25">
      <c r="A26" s="135" t="str">
        <f>A20</f>
        <v>Cash Flow de las Inversiones</v>
      </c>
      <c r="B26" s="139" t="s">
        <v>176</v>
      </c>
      <c r="C26" s="137"/>
      <c r="D26" s="137">
        <f>SUM(D21:D24)</f>
        <v>179084</v>
      </c>
      <c r="E26" s="137">
        <f>SUM(E21:E24)</f>
        <v>135246.51999999999</v>
      </c>
      <c r="F26" s="137">
        <f>SUM(F21:F24)</f>
        <v>155204.71560000003</v>
      </c>
      <c r="G26" s="137">
        <f>SUM(G21:G24)</f>
        <v>179680.85706800001</v>
      </c>
      <c r="H26" s="137">
        <f>SUM(H21:H24)</f>
        <v>211237.28278004</v>
      </c>
      <c r="I26" s="138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15"/>
      <c r="BU26" s="115"/>
      <c r="BV26" s="115"/>
      <c r="BW26" s="115"/>
      <c r="BX26" s="115"/>
      <c r="BY26" s="115"/>
      <c r="BZ26" s="115"/>
      <c r="CA26" s="115"/>
      <c r="CB26" s="115"/>
      <c r="CC26" s="115"/>
      <c r="CD26" s="115"/>
      <c r="CE26" s="115"/>
      <c r="CF26" s="115"/>
      <c r="CG26" s="115"/>
      <c r="CH26" s="115"/>
      <c r="CI26" s="115"/>
      <c r="CJ26" s="115"/>
      <c r="CK26" s="115"/>
      <c r="CL26" s="115"/>
      <c r="CM26" s="115"/>
      <c r="CN26" s="115"/>
    </row>
    <row r="27" spans="1:92" s="116" customFormat="1" ht="12.75" customHeight="1" thickTop="1" x14ac:dyDescent="0.2">
      <c r="A27" s="22"/>
      <c r="B27" s="111"/>
      <c r="C27" s="22"/>
      <c r="D27" s="22"/>
      <c r="E27" s="22"/>
      <c r="F27" s="22"/>
      <c r="G27" s="30"/>
      <c r="H27" s="30"/>
      <c r="I27" s="30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15"/>
      <c r="BR27" s="115"/>
      <c r="BS27" s="115"/>
      <c r="BT27" s="115"/>
      <c r="BU27" s="115"/>
      <c r="BV27" s="115"/>
      <c r="BW27" s="115"/>
      <c r="BX27" s="115"/>
      <c r="BY27" s="115"/>
      <c r="BZ27" s="115"/>
      <c r="CA27" s="115"/>
      <c r="CB27" s="115"/>
      <c r="CC27" s="115"/>
      <c r="CD27" s="115"/>
      <c r="CE27" s="115"/>
      <c r="CF27" s="115"/>
      <c r="CG27" s="115"/>
      <c r="CH27" s="115"/>
      <c r="CI27" s="115"/>
      <c r="CJ27" s="115"/>
      <c r="CK27" s="115"/>
      <c r="CL27" s="115"/>
      <c r="CM27" s="115"/>
      <c r="CN27" s="115"/>
    </row>
    <row r="28" spans="1:92" s="116" customFormat="1" ht="12.75" customHeight="1" x14ac:dyDescent="0.2">
      <c r="A28" s="22"/>
      <c r="B28" s="111"/>
      <c r="C28" s="22"/>
      <c r="D28" s="22"/>
      <c r="E28" s="22"/>
      <c r="F28" s="22"/>
      <c r="G28" s="30"/>
      <c r="H28" s="30"/>
      <c r="I28" s="30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15"/>
      <c r="BR28" s="115"/>
      <c r="BS28" s="115"/>
      <c r="BT28" s="115"/>
      <c r="BU28" s="115"/>
      <c r="BV28" s="115"/>
      <c r="BW28" s="115"/>
      <c r="BX28" s="115"/>
      <c r="BY28" s="115"/>
      <c r="BZ28" s="115"/>
      <c r="CA28" s="115"/>
      <c r="CB28" s="115"/>
      <c r="CC28" s="115"/>
      <c r="CD28" s="115"/>
      <c r="CE28" s="115"/>
      <c r="CF28" s="115"/>
      <c r="CG28" s="115"/>
      <c r="CH28" s="115"/>
      <c r="CI28" s="115"/>
      <c r="CJ28" s="115"/>
      <c r="CK28" s="115"/>
      <c r="CL28" s="115"/>
      <c r="CM28" s="115"/>
      <c r="CN28" s="115"/>
    </row>
    <row r="29" spans="1:92" s="116" customFormat="1" ht="12.75" customHeight="1" x14ac:dyDescent="0.2">
      <c r="A29" s="22" t="s">
        <v>185</v>
      </c>
      <c r="B29" s="140" t="s">
        <v>176</v>
      </c>
      <c r="C29" s="22"/>
      <c r="D29" s="141">
        <f>D17-D26</f>
        <v>-431593.5150684932</v>
      </c>
      <c r="E29" s="141">
        <f>E17-E26</f>
        <v>-145890.47234589036</v>
      </c>
      <c r="F29" s="141">
        <f>F17-F26</f>
        <v>392172.63415336295</v>
      </c>
      <c r="G29" s="141">
        <f>G17-G26</f>
        <v>33760.668952119537</v>
      </c>
      <c r="H29" s="141">
        <f>H17-H26</f>
        <v>1425159.1662468824</v>
      </c>
      <c r="I29" s="30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</row>
    <row r="30" spans="1:92" s="116" customFormat="1" ht="12.75" customHeight="1" x14ac:dyDescent="0.2">
      <c r="A30" s="142" t="s">
        <v>186</v>
      </c>
      <c r="B30" s="143" t="s">
        <v>176</v>
      </c>
      <c r="C30" s="142"/>
      <c r="D30" s="144">
        <f>C30+D29</f>
        <v>-431593.5150684932</v>
      </c>
      <c r="E30" s="144">
        <f>D30+E29</f>
        <v>-577483.98741438356</v>
      </c>
      <c r="F30" s="144">
        <f>E30+F29</f>
        <v>-185311.35326102062</v>
      </c>
      <c r="G30" s="144">
        <f>F30+G29</f>
        <v>-151550.68430890108</v>
      </c>
      <c r="H30" s="144">
        <f>G30+H29</f>
        <v>1273608.4819379812</v>
      </c>
      <c r="I30" s="30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/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</row>
    <row r="31" spans="1:92" s="116" customFormat="1" ht="12.75" customHeight="1" x14ac:dyDescent="0.2">
      <c r="A31" s="22"/>
      <c r="B31" s="111"/>
      <c r="C31" s="22"/>
      <c r="D31" s="22"/>
      <c r="E31" s="22"/>
      <c r="F31" s="22"/>
      <c r="G31" s="30"/>
      <c r="H31" s="30"/>
      <c r="I31" s="30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5"/>
      <c r="CC31" s="115"/>
      <c r="CD31" s="115"/>
      <c r="CE31" s="115"/>
      <c r="CF31" s="115"/>
      <c r="CG31" s="115"/>
      <c r="CH31" s="115"/>
      <c r="CI31" s="115"/>
      <c r="CJ31" s="115"/>
      <c r="CK31" s="115"/>
      <c r="CL31" s="115"/>
      <c r="CM31" s="115"/>
      <c r="CN31" s="115"/>
    </row>
    <row r="32" spans="1:92" s="116" customFormat="1" ht="12.75" customHeight="1" x14ac:dyDescent="0.2">
      <c r="A32" s="145" t="s">
        <v>187</v>
      </c>
      <c r="B32" s="146" t="s">
        <v>176</v>
      </c>
      <c r="C32" s="22"/>
      <c r="D32" s="194">
        <v>3000</v>
      </c>
      <c r="E32" s="141">
        <f>+D61</f>
        <v>-188593.5150684932</v>
      </c>
      <c r="F32" s="141">
        <f>+E61</f>
        <v>-334483.98741438356</v>
      </c>
      <c r="G32" s="141">
        <f>+F61</f>
        <v>57688.646738979383</v>
      </c>
      <c r="H32" s="141">
        <f>+G61</f>
        <v>91449.31569109892</v>
      </c>
      <c r="I32" s="30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5"/>
      <c r="BS32" s="115"/>
      <c r="BT32" s="115"/>
      <c r="BU32" s="115"/>
      <c r="BV32" s="115"/>
      <c r="BW32" s="115"/>
      <c r="BX32" s="115"/>
      <c r="BY32" s="115"/>
      <c r="BZ32" s="115"/>
      <c r="CA32" s="115"/>
      <c r="CB32" s="115"/>
      <c r="CC32" s="115"/>
      <c r="CD32" s="115"/>
      <c r="CE32" s="115"/>
      <c r="CF32" s="115"/>
      <c r="CG32" s="115"/>
      <c r="CH32" s="115"/>
      <c r="CI32" s="115"/>
      <c r="CJ32" s="115"/>
      <c r="CK32" s="115"/>
      <c r="CL32" s="115"/>
      <c r="CM32" s="115"/>
      <c r="CN32" s="115"/>
    </row>
    <row r="33" spans="1:92" s="116" customFormat="1" ht="12.75" customHeight="1" x14ac:dyDescent="0.2">
      <c r="A33" s="22"/>
      <c r="B33" s="111"/>
      <c r="C33" s="22"/>
      <c r="D33" s="22"/>
      <c r="E33" s="22"/>
      <c r="F33" s="22"/>
      <c r="G33" s="30"/>
      <c r="H33" s="30"/>
      <c r="I33" s="30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5"/>
      <c r="BT33" s="115"/>
      <c r="BU33" s="115"/>
      <c r="BV33" s="115"/>
      <c r="BW33" s="115"/>
      <c r="BX33" s="115"/>
      <c r="BY33" s="115"/>
      <c r="BZ33" s="115"/>
      <c r="CA33" s="115"/>
      <c r="CB33" s="115"/>
      <c r="CC33" s="115"/>
      <c r="CD33" s="115"/>
      <c r="CE33" s="115"/>
      <c r="CF33" s="115"/>
      <c r="CG33" s="115"/>
      <c r="CH33" s="115"/>
      <c r="CI33" s="115"/>
      <c r="CJ33" s="115"/>
      <c r="CK33" s="115"/>
      <c r="CL33" s="115"/>
      <c r="CM33" s="115"/>
      <c r="CN33" s="115"/>
    </row>
    <row r="34" spans="1:92" ht="12.75" customHeight="1" x14ac:dyDescent="0.2">
      <c r="A34" s="9" t="s">
        <v>255</v>
      </c>
      <c r="B34" s="40"/>
      <c r="C34" s="130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4"/>
    </row>
    <row r="35" spans="1:92" ht="12.75" customHeight="1" x14ac:dyDescent="0.2">
      <c r="A35" s="147" t="s">
        <v>188</v>
      </c>
      <c r="B35" s="40" t="s">
        <v>176</v>
      </c>
      <c r="C35" s="130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4"/>
    </row>
    <row r="36" spans="1:92" ht="12.75" customHeight="1" x14ac:dyDescent="0.2">
      <c r="A36" s="147" t="s">
        <v>189</v>
      </c>
      <c r="B36" s="40" t="s">
        <v>176</v>
      </c>
      <c r="C36" s="130"/>
      <c r="D36" s="130"/>
      <c r="E36" s="130"/>
      <c r="F36" s="130"/>
      <c r="G36" s="130"/>
      <c r="H36" s="130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4"/>
    </row>
    <row r="37" spans="1:92" ht="6" customHeight="1" x14ac:dyDescent="0.2">
      <c r="A37" s="131"/>
      <c r="B37" s="40"/>
      <c r="C37" s="130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4"/>
    </row>
    <row r="38" spans="1:92" ht="12.75" customHeight="1" x14ac:dyDescent="0.2">
      <c r="A38" s="9" t="s">
        <v>279</v>
      </c>
      <c r="B38" s="40"/>
      <c r="C38" s="130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4"/>
    </row>
    <row r="39" spans="1:92" ht="12.75" customHeight="1" x14ac:dyDescent="0.2">
      <c r="A39" s="147" t="s">
        <v>188</v>
      </c>
      <c r="B39" s="40" t="s">
        <v>176</v>
      </c>
      <c r="C39" s="130"/>
      <c r="D39" s="132">
        <v>0</v>
      </c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4"/>
    </row>
    <row r="40" spans="1:92" ht="12.75" customHeight="1" x14ac:dyDescent="0.2">
      <c r="A40" s="147" t="s">
        <v>189</v>
      </c>
      <c r="B40" s="40" t="s">
        <v>176</v>
      </c>
      <c r="C40" s="130"/>
      <c r="D40" s="130"/>
      <c r="E40" s="130">
        <f>-D39/6</f>
        <v>0</v>
      </c>
      <c r="F40" s="130">
        <f>+E40</f>
        <v>0</v>
      </c>
      <c r="G40" s="130">
        <f>+F40</f>
        <v>0</v>
      </c>
      <c r="H40" s="130">
        <f>+G40</f>
        <v>0</v>
      </c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4"/>
    </row>
    <row r="41" spans="1:92" ht="6" customHeight="1" x14ac:dyDescent="0.2">
      <c r="A41" s="131"/>
      <c r="B41" s="40"/>
      <c r="C41" s="130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4"/>
    </row>
    <row r="42" spans="1:92" ht="12.75" customHeight="1" x14ac:dyDescent="0.2">
      <c r="A42" s="131" t="s">
        <v>271</v>
      </c>
      <c r="B42" s="40"/>
      <c r="C42" s="130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4"/>
    </row>
    <row r="43" spans="1:92" ht="12.75" customHeight="1" x14ac:dyDescent="0.2">
      <c r="A43" s="147" t="s">
        <v>188</v>
      </c>
      <c r="B43" s="40" t="s">
        <v>176</v>
      </c>
      <c r="C43" s="130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4"/>
    </row>
    <row r="44" spans="1:92" ht="12.75" customHeight="1" x14ac:dyDescent="0.2">
      <c r="A44" s="147" t="s">
        <v>189</v>
      </c>
      <c r="B44" s="40" t="s">
        <v>176</v>
      </c>
      <c r="C44" s="130"/>
      <c r="D44" s="130"/>
      <c r="E44" s="130"/>
      <c r="F44" s="130"/>
      <c r="G44" s="130"/>
      <c r="H44" s="130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4"/>
    </row>
    <row r="45" spans="1:92" ht="6" customHeight="1" x14ac:dyDescent="0.2">
      <c r="A45" s="131"/>
      <c r="B45" s="40"/>
      <c r="C45" s="130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4"/>
    </row>
    <row r="46" spans="1:92" ht="12.75" customHeight="1" x14ac:dyDescent="0.2">
      <c r="A46" s="131" t="s">
        <v>272</v>
      </c>
      <c r="B46" s="40"/>
      <c r="C46" s="130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4"/>
    </row>
    <row r="47" spans="1:92" ht="12.75" customHeight="1" x14ac:dyDescent="0.2">
      <c r="A47" s="147" t="s">
        <v>188</v>
      </c>
      <c r="B47" s="40" t="s">
        <v>176</v>
      </c>
      <c r="C47" s="130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4"/>
    </row>
    <row r="48" spans="1:92" ht="12.75" customHeight="1" x14ac:dyDescent="0.2">
      <c r="A48" s="147" t="s">
        <v>189</v>
      </c>
      <c r="B48" s="40" t="s">
        <v>176</v>
      </c>
      <c r="C48" s="130"/>
      <c r="D48" s="130"/>
      <c r="E48" s="130"/>
      <c r="F48" s="130"/>
      <c r="G48" s="130"/>
      <c r="H48" s="130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4"/>
    </row>
    <row r="49" spans="1:92" ht="6" customHeight="1" x14ac:dyDescent="0.2">
      <c r="A49" s="131"/>
      <c r="B49" s="40"/>
      <c r="C49" s="130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4"/>
    </row>
    <row r="50" spans="1:92" ht="12.75" customHeight="1" x14ac:dyDescent="0.2">
      <c r="A50" s="9" t="s">
        <v>212</v>
      </c>
      <c r="B50" s="40"/>
      <c r="C50" s="130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4"/>
    </row>
    <row r="51" spans="1:92" ht="12.75" customHeight="1" x14ac:dyDescent="0.2">
      <c r="A51" s="147" t="s">
        <v>188</v>
      </c>
      <c r="B51" s="40" t="s">
        <v>176</v>
      </c>
      <c r="C51" s="130"/>
      <c r="D51" s="151"/>
      <c r="E51" s="151"/>
      <c r="F51" s="151"/>
      <c r="G51" s="151"/>
      <c r="H51" s="151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4"/>
    </row>
    <row r="52" spans="1:92" ht="12.75" customHeight="1" x14ac:dyDescent="0.2">
      <c r="A52" s="147" t="s">
        <v>189</v>
      </c>
      <c r="B52" s="40" t="s">
        <v>176</v>
      </c>
      <c r="C52" s="130"/>
      <c r="D52" s="152"/>
      <c r="E52" s="152"/>
      <c r="F52" s="152"/>
      <c r="G52" s="152"/>
      <c r="H52" s="15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4"/>
    </row>
    <row r="53" spans="1:92" ht="6" customHeight="1" x14ac:dyDescent="0.2">
      <c r="A53" s="131"/>
      <c r="B53" s="40"/>
      <c r="C53" s="130"/>
      <c r="D53" s="148"/>
      <c r="E53" s="148"/>
      <c r="F53" s="148"/>
      <c r="G53" s="148"/>
      <c r="H53" s="148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4"/>
    </row>
    <row r="54" spans="1:92" ht="12.75" customHeight="1" x14ac:dyDescent="0.2">
      <c r="A54" s="9" t="s">
        <v>190</v>
      </c>
      <c r="B54" s="40"/>
      <c r="C54" s="130"/>
      <c r="D54" s="148"/>
      <c r="E54" s="148"/>
      <c r="F54" s="148"/>
      <c r="G54" s="148"/>
      <c r="H54" s="148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4"/>
    </row>
    <row r="55" spans="1:92" ht="12.75" customHeight="1" x14ac:dyDescent="0.2">
      <c r="A55" s="147" t="s">
        <v>191</v>
      </c>
      <c r="B55" s="40" t="s">
        <v>176</v>
      </c>
      <c r="C55" s="130"/>
      <c r="D55" s="153">
        <v>240000</v>
      </c>
      <c r="E55" s="153"/>
      <c r="F55" s="153"/>
      <c r="G55" s="153">
        <f>-(G35+G36)</f>
        <v>0</v>
      </c>
      <c r="H55" s="153">
        <f>-(H35+H36)</f>
        <v>0</v>
      </c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4"/>
    </row>
    <row r="56" spans="1:92" ht="12.75" customHeight="1" x14ac:dyDescent="0.2">
      <c r="A56" s="147" t="s">
        <v>192</v>
      </c>
      <c r="B56" s="40" t="s">
        <v>176</v>
      </c>
      <c r="C56" s="130"/>
      <c r="D56" s="152"/>
      <c r="E56" s="152"/>
      <c r="F56" s="152"/>
      <c r="G56" s="152"/>
      <c r="H56" s="15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4"/>
    </row>
    <row r="57" spans="1:92" ht="6" customHeight="1" x14ac:dyDescent="0.2">
      <c r="A57" s="131"/>
      <c r="B57" s="40"/>
      <c r="C57" s="130"/>
      <c r="D57" s="148"/>
      <c r="E57" s="148"/>
      <c r="F57" s="148"/>
      <c r="G57" s="148"/>
      <c r="H57" s="148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4"/>
    </row>
    <row r="58" spans="1:92" ht="6" customHeight="1" x14ac:dyDescent="0.2">
      <c r="A58" s="131"/>
      <c r="B58" s="40"/>
      <c r="C58" s="130"/>
      <c r="D58" s="148"/>
      <c r="E58" s="148"/>
      <c r="F58" s="148"/>
      <c r="G58" s="148"/>
      <c r="H58" s="148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4"/>
    </row>
    <row r="59" spans="1:92" ht="12.75" customHeight="1" x14ac:dyDescent="0.2">
      <c r="A59" s="131" t="s">
        <v>193</v>
      </c>
      <c r="B59" s="40" t="s">
        <v>176</v>
      </c>
      <c r="C59" s="130"/>
      <c r="D59" s="148">
        <v>0</v>
      </c>
      <c r="E59" s="148">
        <v>0</v>
      </c>
      <c r="F59" s="148">
        <v>0</v>
      </c>
      <c r="G59" s="148">
        <v>0</v>
      </c>
      <c r="H59" s="148">
        <v>0</v>
      </c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4"/>
    </row>
    <row r="60" spans="1:92" ht="6" customHeight="1" x14ac:dyDescent="0.2">
      <c r="A60" s="131"/>
      <c r="B60" s="40"/>
      <c r="C60" s="130"/>
      <c r="D60" s="149"/>
      <c r="E60" s="149"/>
      <c r="F60" s="149"/>
      <c r="G60" s="149"/>
      <c r="H60" s="149"/>
      <c r="I60" s="130"/>
      <c r="J60" s="130"/>
      <c r="K60" s="130"/>
      <c r="M60" s="130"/>
      <c r="N60" s="130"/>
      <c r="O60" s="130"/>
      <c r="P60" s="130"/>
      <c r="Q60" s="130"/>
      <c r="R60" s="130"/>
      <c r="S60" s="130"/>
      <c r="T60" s="130"/>
      <c r="U60" s="130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</row>
    <row r="61" spans="1:92" s="116" customFormat="1" ht="12.75" customHeight="1" thickBot="1" x14ac:dyDescent="0.25">
      <c r="A61" s="135" t="s">
        <v>194</v>
      </c>
      <c r="B61" s="139" t="s">
        <v>176</v>
      </c>
      <c r="C61" s="137"/>
      <c r="D61" s="150">
        <f>SUM(D32:D59)+D29</f>
        <v>-188593.5150684932</v>
      </c>
      <c r="E61" s="150">
        <f>SUM(E32:E59)+E29</f>
        <v>-334483.98741438356</v>
      </c>
      <c r="F61" s="150">
        <f>SUM(F32:F59)+F29</f>
        <v>57688.646738979383</v>
      </c>
      <c r="G61" s="150">
        <f>SUM(G32:G59)+G29</f>
        <v>91449.31569109892</v>
      </c>
      <c r="H61" s="150">
        <f>SUM(H32:H59)+H29</f>
        <v>1516608.4819379812</v>
      </c>
      <c r="I61" s="138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  <c r="BL61" s="115"/>
      <c r="BM61" s="115"/>
      <c r="BN61" s="115"/>
      <c r="BO61" s="115"/>
      <c r="BP61" s="115"/>
      <c r="BQ61" s="115"/>
      <c r="BR61" s="115"/>
      <c r="BS61" s="115"/>
      <c r="BT61" s="115"/>
      <c r="BU61" s="115"/>
      <c r="BV61" s="115"/>
      <c r="BW61" s="115"/>
      <c r="BX61" s="115"/>
      <c r="BY61" s="115"/>
      <c r="BZ61" s="115"/>
      <c r="CA61" s="115"/>
      <c r="CB61" s="115"/>
      <c r="CC61" s="115"/>
      <c r="CD61" s="115"/>
      <c r="CE61" s="115"/>
      <c r="CF61" s="115"/>
      <c r="CG61" s="115"/>
      <c r="CH61" s="115"/>
      <c r="CI61" s="115"/>
      <c r="CJ61" s="115"/>
      <c r="CK61" s="115"/>
      <c r="CL61" s="115"/>
      <c r="CM61" s="115"/>
      <c r="CN61" s="115"/>
    </row>
    <row r="62" spans="1:92" s="2" customFormat="1" ht="13.5" thickTop="1" x14ac:dyDescent="0.2"/>
    <row r="63" spans="1:92" s="2" customFormat="1" x14ac:dyDescent="0.2"/>
    <row r="64" spans="1:92" s="2" customFormat="1" ht="13.5" thickBot="1" x14ac:dyDescent="0.25">
      <c r="D64" s="181"/>
      <c r="E64" s="181"/>
      <c r="F64" s="181"/>
      <c r="G64" s="181"/>
      <c r="H64" s="181"/>
    </row>
    <row r="65" spans="1:8" s="2" customFormat="1" ht="13.5" thickBot="1" x14ac:dyDescent="0.25">
      <c r="A65" s="184" t="s">
        <v>256</v>
      </c>
      <c r="B65" s="185"/>
      <c r="C65" s="185"/>
      <c r="D65" s="186">
        <f>+IF(MIN(D61:H61)&lt;0,MIN(D61:H61),0)</f>
        <v>-334483.98741438356</v>
      </c>
    </row>
    <row r="66" spans="1:8" s="2" customFormat="1" x14ac:dyDescent="0.2"/>
    <row r="67" spans="1:8" s="2" customFormat="1" x14ac:dyDescent="0.2"/>
    <row r="68" spans="1:8" s="188" customFormat="1" x14ac:dyDescent="0.2"/>
    <row r="69" spans="1:8" s="188" customFormat="1" x14ac:dyDescent="0.2">
      <c r="D69" s="189">
        <f>+C43+D43+D44</f>
        <v>0</v>
      </c>
      <c r="E69" s="189">
        <f>+D69+E43+E44</f>
        <v>0</v>
      </c>
      <c r="F69" s="189">
        <f>+E69+F43+F44</f>
        <v>0</v>
      </c>
      <c r="G69" s="189">
        <f>+F69+G43+G44</f>
        <v>0</v>
      </c>
      <c r="H69" s="189">
        <f>+G69+H43+H44</f>
        <v>0</v>
      </c>
    </row>
    <row r="70" spans="1:8" s="188" customFormat="1" x14ac:dyDescent="0.2"/>
    <row r="71" spans="1:8" s="188" customFormat="1" x14ac:dyDescent="0.2"/>
    <row r="72" spans="1:8" s="188" customFormat="1" x14ac:dyDescent="0.2">
      <c r="D72" s="189"/>
    </row>
    <row r="73" spans="1:8" s="188" customFormat="1" x14ac:dyDescent="0.2">
      <c r="D73" s="189">
        <f>+C47+D47+D48</f>
        <v>0</v>
      </c>
      <c r="E73" s="189">
        <f>+D73+E47+E48</f>
        <v>0</v>
      </c>
      <c r="F73" s="189">
        <f>+E73+F47+F48</f>
        <v>0</v>
      </c>
      <c r="G73" s="189">
        <f>+F73+G47+G48</f>
        <v>0</v>
      </c>
      <c r="H73" s="189">
        <f>+G73+H47+H48</f>
        <v>0</v>
      </c>
    </row>
    <row r="74" spans="1:8" s="2" customFormat="1" x14ac:dyDescent="0.2"/>
    <row r="75" spans="1:8" s="2" customFormat="1" x14ac:dyDescent="0.2"/>
    <row r="76" spans="1:8" s="2" customFormat="1" x14ac:dyDescent="0.2"/>
    <row r="77" spans="1:8" s="2" customFormat="1" x14ac:dyDescent="0.2"/>
    <row r="78" spans="1:8" s="2" customFormat="1" x14ac:dyDescent="0.2"/>
    <row r="79" spans="1:8" s="2" customFormat="1" x14ac:dyDescent="0.2"/>
    <row r="80" spans="1:8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</sheetData>
  <phoneticPr fontId="12" type="noConversion"/>
  <printOptions horizontalCentered="1" verticalCentered="1"/>
  <pageMargins left="0.78740157480314965" right="0.78740157480314965" top="0.98425196850393704" bottom="0.98425196850393704" header="0" footer="0"/>
  <pageSetup paperSize="9" scale="6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zoomScaleNormal="100" workbookViewId="0">
      <pane xSplit="2" ySplit="4" topLeftCell="C5" activePane="bottomRight" state="frozen"/>
      <selection activeCell="F15" sqref="F15"/>
      <selection pane="topRight" activeCell="F15" sqref="F15"/>
      <selection pane="bottomLeft" activeCell="F15" sqref="F15"/>
      <selection pane="bottomRight" activeCell="F15" sqref="F15"/>
    </sheetView>
  </sheetViews>
  <sheetFormatPr baseColWidth="10" defaultRowHeight="12.75" x14ac:dyDescent="0.2"/>
  <cols>
    <col min="1" max="1" width="1.85546875" style="2" customWidth="1"/>
    <col min="2" max="2" width="43.140625" style="2" bestFit="1" customWidth="1"/>
    <col min="3" max="3" width="4.42578125" style="2" customWidth="1"/>
    <col min="4" max="16384" width="11.42578125" style="2"/>
  </cols>
  <sheetData>
    <row r="1" spans="1:8" s="1" customFormat="1" x14ac:dyDescent="0.2">
      <c r="A1" s="1" t="s">
        <v>9</v>
      </c>
    </row>
    <row r="2" spans="1:8" x14ac:dyDescent="0.2">
      <c r="A2" s="2" t="s">
        <v>104</v>
      </c>
    </row>
    <row r="4" spans="1:8" s="38" customFormat="1" x14ac:dyDescent="0.2">
      <c r="D4" s="38" t="str">
        <f>+'Ingresos por ventas'!D4</f>
        <v>Año 1</v>
      </c>
      <c r="E4" s="38" t="str">
        <f>+'Ingresos por ventas'!E4</f>
        <v>Año 2</v>
      </c>
      <c r="F4" s="38" t="str">
        <f>+'Ingresos por ventas'!F4</f>
        <v>Año 3</v>
      </c>
      <c r="G4" s="38" t="str">
        <f>+'Ingresos por ventas'!G4</f>
        <v>Año 4</v>
      </c>
      <c r="H4" s="38" t="str">
        <f>+'Ingresos por ventas'!H4</f>
        <v>Año 5</v>
      </c>
    </row>
    <row r="5" spans="1:8" x14ac:dyDescent="0.2">
      <c r="B5" s="2" t="s">
        <v>10</v>
      </c>
      <c r="C5" s="3"/>
      <c r="D5" s="3">
        <f>+'Ingresos por ventas'!D9</f>
        <v>461500</v>
      </c>
      <c r="E5" s="3">
        <f>+'Ingresos por ventas'!E9</f>
        <v>941460</v>
      </c>
      <c r="F5" s="3">
        <f>+'Ingresos por ventas'!F9</f>
        <v>1903818.5249999999</v>
      </c>
      <c r="G5" s="3">
        <f>+'Ingresos por ventas'!G9</f>
        <v>1189594.3800000004</v>
      </c>
      <c r="H5" s="3">
        <f>+'Ingresos por ventas'!H9</f>
        <v>4239643.3497600006</v>
      </c>
    </row>
    <row r="6" spans="1:8" x14ac:dyDescent="0.2">
      <c r="B6" s="2" t="s">
        <v>203</v>
      </c>
      <c r="C6" s="3"/>
      <c r="D6" s="3">
        <f>+Costes!D70</f>
        <v>106084</v>
      </c>
      <c r="E6" s="3">
        <f>+Costes!E70</f>
        <v>132606.51999999999</v>
      </c>
      <c r="F6" s="3">
        <f>+Costes!F70</f>
        <v>155204.71560000003</v>
      </c>
      <c r="G6" s="3">
        <f>+Costes!G70</f>
        <v>177880.85706800001</v>
      </c>
      <c r="H6" s="3">
        <f>+Costes!H70</f>
        <v>210637.28278004</v>
      </c>
    </row>
    <row r="7" spans="1:8" x14ac:dyDescent="0.2">
      <c r="B7" s="2" t="s">
        <v>209</v>
      </c>
      <c r="C7" s="3"/>
      <c r="D7" s="3">
        <f>+Subvenciones!C14</f>
        <v>25000</v>
      </c>
      <c r="E7" s="3">
        <f>+Subvenciones!D14</f>
        <v>0</v>
      </c>
      <c r="F7" s="3">
        <f>+Subvenciones!E14</f>
        <v>0</v>
      </c>
      <c r="G7" s="3">
        <f>+Subvenciones!F14</f>
        <v>0</v>
      </c>
      <c r="H7" s="3">
        <f>+Subvenciones!G14</f>
        <v>0</v>
      </c>
    </row>
    <row r="9" spans="1:8" x14ac:dyDescent="0.2">
      <c r="B9" s="2" t="s">
        <v>13</v>
      </c>
      <c r="C9" s="3"/>
      <c r="D9" s="3">
        <f>+Costes!D14</f>
        <v>150000</v>
      </c>
      <c r="E9" s="3">
        <f>+Costes!E14</f>
        <v>306000</v>
      </c>
      <c r="F9" s="3">
        <f>+Costes!F14</f>
        <v>551565</v>
      </c>
      <c r="G9" s="3">
        <f>+Costes!G14</f>
        <v>0</v>
      </c>
      <c r="H9" s="3">
        <f>+Costes!H14</f>
        <v>1107920.736</v>
      </c>
    </row>
    <row r="10" spans="1:8" x14ac:dyDescent="0.2">
      <c r="D10" s="37"/>
      <c r="E10" s="37">
        <f>+(E5-E9)/E9</f>
        <v>2.0766666666666667</v>
      </c>
      <c r="F10" s="37">
        <f>+(F5-F9)/F9</f>
        <v>2.4516666666666667</v>
      </c>
      <c r="G10" s="37" t="e">
        <f>+(G5-G9)/G9</f>
        <v>#DIV/0!</v>
      </c>
      <c r="H10" s="37">
        <f>+(H5-H9)/H9</f>
        <v>2.8266666666666671</v>
      </c>
    </row>
    <row r="12" spans="1:8" x14ac:dyDescent="0.2">
      <c r="B12" s="1" t="s">
        <v>266</v>
      </c>
      <c r="C12" s="6"/>
      <c r="D12" s="6">
        <f>+D5+D7-D9</f>
        <v>336500</v>
      </c>
      <c r="E12" s="6">
        <f>+E5+E7-E9</f>
        <v>635460</v>
      </c>
      <c r="F12" s="6">
        <f>+F5+F7-F9</f>
        <v>1352253.5249999999</v>
      </c>
      <c r="G12" s="6">
        <f>+G5+G7-G9</f>
        <v>1189594.3800000004</v>
      </c>
      <c r="H12" s="6">
        <f>+H5+H7-H9</f>
        <v>3131722.6137600006</v>
      </c>
    </row>
    <row r="13" spans="1:8" x14ac:dyDescent="0.2">
      <c r="B13" s="2" t="s">
        <v>12</v>
      </c>
      <c r="C13" s="4"/>
      <c r="D13" s="4">
        <f>+IF(D9=0,0,(D5-D9)/D5)</f>
        <v>0.67497291440953411</v>
      </c>
      <c r="E13" s="4">
        <f>+IF(E9=0,0,(E5-E9)/E5)</f>
        <v>0.67497291440953411</v>
      </c>
      <c r="F13" s="4">
        <f>+IF(F9=0,0,(F5-F9)/F5)</f>
        <v>0.71028488652824717</v>
      </c>
      <c r="G13" s="4">
        <f>+IF(G9=0,0,(G5-G9)/G5)</f>
        <v>0</v>
      </c>
      <c r="H13" s="4">
        <f>+IF(H9=0,0,(H5-H9)/H5)</f>
        <v>0.73867595818815335</v>
      </c>
    </row>
    <row r="16" spans="1:8" x14ac:dyDescent="0.2">
      <c r="B16" s="2" t="str">
        <f>+Costes!B41</f>
        <v>Gastos de personal</v>
      </c>
      <c r="C16" s="3"/>
      <c r="D16" s="3">
        <f>+Costes!D61</f>
        <v>264714.2</v>
      </c>
      <c r="E16" s="3">
        <f>+Costes!E61</f>
        <v>350127.83999999997</v>
      </c>
      <c r="F16" s="3">
        <f>+Costes!F61</f>
        <v>468674.40585000004</v>
      </c>
      <c r="G16" s="3">
        <f>+Costes!G61</f>
        <v>479650.73413200007</v>
      </c>
      <c r="H16" s="3">
        <f>+Costes!H61</f>
        <v>658129.35773676005</v>
      </c>
    </row>
    <row r="17" spans="2:8" x14ac:dyDescent="0.2">
      <c r="B17" s="2" t="str">
        <f>+Costes!B19</f>
        <v>Gastos generales</v>
      </c>
      <c r="C17" s="3"/>
      <c r="D17" s="3">
        <f>+Costes!D37</f>
        <v>412675</v>
      </c>
      <c r="E17" s="3">
        <f>+Costes!E37</f>
        <v>458139.75</v>
      </c>
      <c r="F17" s="3">
        <f>+Costes!F37</f>
        <v>500717.35749999998</v>
      </c>
      <c r="G17" s="3">
        <f>+Costes!G37</f>
        <v>543413.25777500006</v>
      </c>
      <c r="H17" s="3">
        <f>+Costes!H37</f>
        <v>601233.15371174994</v>
      </c>
    </row>
    <row r="20" spans="2:8" x14ac:dyDescent="0.2">
      <c r="B20" s="1" t="s">
        <v>14</v>
      </c>
      <c r="C20" s="6"/>
      <c r="D20" s="6">
        <f>+SUM(D5:D7)-D9-D16-D17</f>
        <v>-234805.2</v>
      </c>
      <c r="E20" s="6">
        <f>+SUM(E5:E7)-E9-E16-E17</f>
        <v>-40201.069999999949</v>
      </c>
      <c r="F20" s="6">
        <f>+SUM(F5:F7)-F9-F16-F17</f>
        <v>538066.47725</v>
      </c>
      <c r="G20" s="6">
        <f>+SUM(G5:G7)-G9-G16-G17</f>
        <v>344411.24516100017</v>
      </c>
      <c r="H20" s="6">
        <f>+SUM(H5:H7)-H9-H16-H17</f>
        <v>2082997.3850915304</v>
      </c>
    </row>
    <row r="21" spans="2:8" x14ac:dyDescent="0.2">
      <c r="B21" s="2" t="s">
        <v>15</v>
      </c>
      <c r="C21" s="4"/>
      <c r="D21" s="4">
        <f>+IF(D5=0,0,D20/D5)</f>
        <v>-0.50878699891657642</v>
      </c>
      <c r="E21" s="4">
        <f>+IF(E5=0,0,E20/E5)</f>
        <v>-4.2700773267053245E-2</v>
      </c>
      <c r="F21" s="4">
        <f>+IF(F5=0,0,F20/F5)</f>
        <v>0.28262487741577158</v>
      </c>
      <c r="G21" s="4">
        <f>+IF(G5=0,0,G20/G5)</f>
        <v>0.28951989934670008</v>
      </c>
      <c r="H21" s="4">
        <f>+IF(H5=0,0,H20/H5)</f>
        <v>0.49131429538983401</v>
      </c>
    </row>
    <row r="24" spans="2:8" x14ac:dyDescent="0.2">
      <c r="B24" s="2" t="s">
        <v>16</v>
      </c>
      <c r="C24" s="3"/>
      <c r="D24" s="3">
        <f>+Capex!D47</f>
        <v>43150.133333333331</v>
      </c>
      <c r="E24" s="3">
        <f>+Capex!E47</f>
        <v>67199.437333333335</v>
      </c>
      <c r="F24" s="3">
        <f>+Capex!F47</f>
        <v>98840.380453333331</v>
      </c>
      <c r="G24" s="3">
        <f>+Capex!G47</f>
        <v>122443.21853360001</v>
      </c>
      <c r="H24" s="3">
        <f>+Capex!H47</f>
        <v>164690.675089608</v>
      </c>
    </row>
    <row r="27" spans="2:8" x14ac:dyDescent="0.2">
      <c r="B27" s="1" t="s">
        <v>21</v>
      </c>
      <c r="C27" s="6"/>
      <c r="D27" s="6">
        <f>+D20-D24</f>
        <v>-277955.33333333337</v>
      </c>
      <c r="E27" s="6">
        <f>+E20-E24</f>
        <v>-107400.50733333328</v>
      </c>
      <c r="F27" s="6">
        <f>+F20-F24</f>
        <v>439226.09679666668</v>
      </c>
      <c r="G27" s="6">
        <f>+G20-G24</f>
        <v>221968.02662740016</v>
      </c>
      <c r="H27" s="6">
        <f>+H20-H24</f>
        <v>1918306.7100019224</v>
      </c>
    </row>
    <row r="28" spans="2:8" x14ac:dyDescent="0.2">
      <c r="B28" s="2" t="s">
        <v>22</v>
      </c>
      <c r="C28" s="4"/>
      <c r="D28" s="4">
        <f>+IF(D5=0,0,D27/D5)</f>
        <v>-0.60228674611773214</v>
      </c>
      <c r="E28" s="4">
        <f>+IF(E5=0,0,E27/E5)</f>
        <v>-0.11407867284147312</v>
      </c>
      <c r="F28" s="4">
        <f>+IF(F5=0,0,F27/F5)</f>
        <v>0.2307079645612056</v>
      </c>
      <c r="G28" s="4">
        <f>+IF(G5=0,0,G27/G5)</f>
        <v>0.186591354464368</v>
      </c>
      <c r="H28" s="4">
        <f>+IF(H5=0,0,H27/H5)</f>
        <v>0.45246888753284276</v>
      </c>
    </row>
    <row r="31" spans="2:8" x14ac:dyDescent="0.2">
      <c r="B31" s="2" t="s">
        <v>98</v>
      </c>
      <c r="C31" s="3"/>
    </row>
    <row r="32" spans="2:8" x14ac:dyDescent="0.2">
      <c r="B32" s="2" t="s">
        <v>48</v>
      </c>
      <c r="D32" s="3">
        <f>+Deuda!K10</f>
        <v>0</v>
      </c>
      <c r="E32" s="3">
        <f>+Deuda!L10</f>
        <v>0</v>
      </c>
      <c r="F32" s="3">
        <f>+Deuda!M10</f>
        <v>0</v>
      </c>
      <c r="G32" s="3">
        <f>+Deuda!N10</f>
        <v>0</v>
      </c>
      <c r="H32" s="3">
        <f>+Deuda!O10</f>
        <v>0</v>
      </c>
    </row>
    <row r="34" spans="2:8" x14ac:dyDescent="0.2">
      <c r="B34" s="1" t="s">
        <v>63</v>
      </c>
      <c r="C34" s="6"/>
      <c r="D34" s="6">
        <f>+D27+D31-D32</f>
        <v>-277955.33333333337</v>
      </c>
      <c r="E34" s="6">
        <f>+E27+E31-E32</f>
        <v>-107400.50733333328</v>
      </c>
      <c r="F34" s="6">
        <f>+F27+F31-F32</f>
        <v>439226.09679666668</v>
      </c>
      <c r="G34" s="6">
        <f>+G27+G31-G32</f>
        <v>221968.02662740016</v>
      </c>
      <c r="H34" s="6">
        <f>+H27+H31-H32</f>
        <v>1918306.7100019224</v>
      </c>
    </row>
    <row r="36" spans="2:8" x14ac:dyDescent="0.2">
      <c r="B36" s="2" t="s">
        <v>24</v>
      </c>
      <c r="C36" s="3"/>
      <c r="D36" s="3">
        <f>+Impuestos!D22</f>
        <v>0</v>
      </c>
      <c r="E36" s="3">
        <f>+Impuestos!E20</f>
        <v>0</v>
      </c>
      <c r="F36" s="3">
        <f>+Impuestos!F20</f>
        <v>3185.8454790000146</v>
      </c>
      <c r="G36" s="3">
        <f>+Impuestos!G20</f>
        <v>53225.91968742005</v>
      </c>
      <c r="H36" s="3">
        <f>+Impuestos!H20</f>
        <v>561726.59005075262</v>
      </c>
    </row>
    <row r="38" spans="2:8" x14ac:dyDescent="0.2">
      <c r="B38" s="1" t="s">
        <v>77</v>
      </c>
      <c r="C38" s="6"/>
      <c r="D38" s="6">
        <f>+D34-D36</f>
        <v>-277955.33333333337</v>
      </c>
      <c r="E38" s="6">
        <f>+E34-E36</f>
        <v>-107400.50733333328</v>
      </c>
      <c r="F38" s="6">
        <f>+F34-F36</f>
        <v>436040.25131766667</v>
      </c>
      <c r="G38" s="6">
        <f>+G34-G36</f>
        <v>168742.10693998012</v>
      </c>
      <c r="H38" s="6">
        <f>+H34-H36</f>
        <v>1356580.1199511699</v>
      </c>
    </row>
  </sheetData>
  <phoneticPr fontId="0" type="noConversion"/>
  <printOptions horizontalCentered="1" verticalCentered="1"/>
  <pageMargins left="0.78740157480314965" right="0.78740157480314965" top="0.98425196850393704" bottom="0.98425196850393704" header="0" footer="0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14</vt:i4>
      </vt:variant>
    </vt:vector>
  </HeadingPairs>
  <TitlesOfParts>
    <vt:vector size="32" baseType="lpstr">
      <vt:lpstr>Portada</vt:lpstr>
      <vt:lpstr>Presupuestos de ventas</vt:lpstr>
      <vt:lpstr>Ingresos por ventas</vt:lpstr>
      <vt:lpstr>Costes</vt:lpstr>
      <vt:lpstr>Capex</vt:lpstr>
      <vt:lpstr>Masas de balance</vt:lpstr>
      <vt:lpstr>Subvenciones</vt:lpstr>
      <vt:lpstr>Cash Flow</vt:lpstr>
      <vt:lpstr>PyG</vt:lpstr>
      <vt:lpstr>Balance</vt:lpstr>
      <vt:lpstr>Impuestos</vt:lpstr>
      <vt:lpstr>Deuda</vt:lpstr>
      <vt:lpstr>Graficos</vt:lpstr>
      <vt:lpstr>Resumen proyecciones</vt:lpstr>
      <vt:lpstr>Valoración</vt:lpstr>
      <vt:lpstr>Balance mensual</vt:lpstr>
      <vt:lpstr>Balance histórico</vt:lpstr>
      <vt:lpstr>PyG histórico</vt:lpstr>
      <vt:lpstr>Balance!Área_de_impresión</vt:lpstr>
      <vt:lpstr>'Balance mensual'!Área_de_impresión</vt:lpstr>
      <vt:lpstr>Capex!Área_de_impresión</vt:lpstr>
      <vt:lpstr>'Cash Flow'!Área_de_impresión</vt:lpstr>
      <vt:lpstr>Costes!Área_de_impresión</vt:lpstr>
      <vt:lpstr>Deuda!Área_de_impresión</vt:lpstr>
      <vt:lpstr>Impuestos!Área_de_impresión</vt:lpstr>
      <vt:lpstr>'Ingresos por ventas'!Área_de_impresión</vt:lpstr>
      <vt:lpstr>'Masas de balance'!Área_de_impresión</vt:lpstr>
      <vt:lpstr>Portada!Área_de_impresión</vt:lpstr>
      <vt:lpstr>PyG!Área_de_impresión</vt:lpstr>
      <vt:lpstr>'Resumen proyecciones'!Área_de_impresión</vt:lpstr>
      <vt:lpstr>Subvenciones!Área_de_impresión</vt:lpstr>
      <vt:lpstr>Valoración!Área_de_impresión</vt:lpstr>
    </vt:vector>
  </TitlesOfParts>
  <Company>Sistemas J. Perez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oscarp</cp:lastModifiedBy>
  <cp:lastPrinted>2013-05-13T14:44:59Z</cp:lastPrinted>
  <dcterms:created xsi:type="dcterms:W3CDTF">2007-11-24T08:50:55Z</dcterms:created>
  <dcterms:modified xsi:type="dcterms:W3CDTF">2013-05-14T13:40:17Z</dcterms:modified>
</cp:coreProperties>
</file>